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Postdoc research_Prof Metha\Data mega project\1Cannabis\Manuscript\MS_Sativa encap in vitro\1PloS one\Revision\2 round\Supporting Information\Supplementary file\"/>
    </mc:Choice>
  </mc:AlternateContent>
  <xr:revisionPtr revIDLastSave="0" documentId="13_ncr:1_{58B19C0B-B788-4BFA-AA38-A6A2FDC23337}" xr6:coauthVersionLast="47" xr6:coauthVersionMax="47" xr10:uidLastSave="{00000000-0000-0000-0000-000000000000}"/>
  <bookViews>
    <workbookView xWindow="1170" yWindow="0" windowWidth="16200" windowHeight="15480" xr2:uid="{3ED61152-7A96-47CF-A016-FBA0EF65C920}"/>
  </bookViews>
  <sheets>
    <sheet name="Cumulative g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P6" i="1"/>
  <c r="K11" i="1"/>
  <c r="K10" i="1"/>
  <c r="K6" i="1"/>
  <c r="F6" i="1"/>
  <c r="T6" i="1"/>
  <c r="O6" i="1"/>
  <c r="J6" i="1"/>
  <c r="E6" i="1"/>
  <c r="B11" i="1"/>
  <c r="B12" i="1" s="1"/>
  <c r="B13" i="1" s="1"/>
  <c r="B14" i="1" s="1"/>
  <c r="E14" i="1" s="1"/>
  <c r="S7" i="1"/>
  <c r="S8" i="1" s="1"/>
  <c r="S9" i="1" s="1"/>
  <c r="S10" i="1" s="1"/>
  <c r="S11" i="1" s="1"/>
  <c r="S12" i="1" s="1"/>
  <c r="S13" i="1" s="1"/>
  <c r="S14" i="1" s="1"/>
  <c r="R7" i="1"/>
  <c r="R8" i="1" s="1"/>
  <c r="R9" i="1" s="1"/>
  <c r="R10" i="1" s="1"/>
  <c r="R11" i="1" s="1"/>
  <c r="R12" i="1" s="1"/>
  <c r="R13" i="1" s="1"/>
  <c r="R14" i="1" s="1"/>
  <c r="Q7" i="1"/>
  <c r="Q8" i="1" s="1"/>
  <c r="Q9" i="1" s="1"/>
  <c r="Q10" i="1" s="1"/>
  <c r="Q11" i="1" s="1"/>
  <c r="Q12" i="1" s="1"/>
  <c r="Q13" i="1" s="1"/>
  <c r="Q14" i="1" s="1"/>
  <c r="U14" i="1" s="1"/>
  <c r="N7" i="1"/>
  <c r="N8" i="1" s="1"/>
  <c r="N9" i="1" s="1"/>
  <c r="N10" i="1" s="1"/>
  <c r="N11" i="1" s="1"/>
  <c r="N12" i="1" s="1"/>
  <c r="N13" i="1" s="1"/>
  <c r="N14" i="1" s="1"/>
  <c r="M7" i="1"/>
  <c r="M8" i="1" s="1"/>
  <c r="M9" i="1" s="1"/>
  <c r="M10" i="1" s="1"/>
  <c r="M11" i="1" s="1"/>
  <c r="M12" i="1" s="1"/>
  <c r="M13" i="1" s="1"/>
  <c r="M14" i="1" s="1"/>
  <c r="L7" i="1"/>
  <c r="L8" i="1" s="1"/>
  <c r="L9" i="1" s="1"/>
  <c r="L10" i="1" s="1"/>
  <c r="L11" i="1" s="1"/>
  <c r="L12" i="1" s="1"/>
  <c r="L13" i="1" s="1"/>
  <c r="L14" i="1" s="1"/>
  <c r="P14" i="1" s="1"/>
  <c r="I7" i="1"/>
  <c r="I8" i="1" s="1"/>
  <c r="I9" i="1" s="1"/>
  <c r="I10" i="1" s="1"/>
  <c r="I11" i="1" s="1"/>
  <c r="I12" i="1" s="1"/>
  <c r="I13" i="1" s="1"/>
  <c r="I14" i="1" s="1"/>
  <c r="H7" i="1"/>
  <c r="H8" i="1" s="1"/>
  <c r="H9" i="1" s="1"/>
  <c r="H10" i="1" s="1"/>
  <c r="H11" i="1" s="1"/>
  <c r="H12" i="1" s="1"/>
  <c r="H13" i="1" s="1"/>
  <c r="H14" i="1" s="1"/>
  <c r="G7" i="1"/>
  <c r="G8" i="1" s="1"/>
  <c r="G9" i="1" s="1"/>
  <c r="G10" i="1" s="1"/>
  <c r="G11" i="1" s="1"/>
  <c r="G12" i="1" s="1"/>
  <c r="G13" i="1" s="1"/>
  <c r="G14" i="1" s="1"/>
  <c r="K14" i="1" s="1"/>
  <c r="D7" i="1"/>
  <c r="D8" i="1" s="1"/>
  <c r="D9" i="1" s="1"/>
  <c r="D10" i="1" s="1"/>
  <c r="D11" i="1" s="1"/>
  <c r="D12" i="1" s="1"/>
  <c r="D13" i="1" s="1"/>
  <c r="D14" i="1" s="1"/>
  <c r="C7" i="1"/>
  <c r="C8" i="1" s="1"/>
  <c r="C9" i="1" s="1"/>
  <c r="C10" i="1" s="1"/>
  <c r="C11" i="1" s="1"/>
  <c r="C12" i="1" s="1"/>
  <c r="C13" i="1" s="1"/>
  <c r="C14" i="1" s="1"/>
  <c r="K9" i="1" l="1"/>
  <c r="P12" i="1"/>
  <c r="P13" i="1"/>
  <c r="K12" i="1"/>
  <c r="K13" i="1"/>
  <c r="U7" i="1"/>
  <c r="U8" i="1"/>
  <c r="U9" i="1"/>
  <c r="F9" i="1"/>
  <c r="P7" i="1"/>
  <c r="U10" i="1"/>
  <c r="F10" i="1"/>
  <c r="F8" i="1"/>
  <c r="P8" i="1"/>
  <c r="U11" i="1"/>
  <c r="P9" i="1"/>
  <c r="U12" i="1"/>
  <c r="K7" i="1"/>
  <c r="P10" i="1"/>
  <c r="U13" i="1"/>
  <c r="K8" i="1"/>
  <c r="P11" i="1"/>
  <c r="O14" i="1"/>
  <c r="F14" i="1"/>
  <c r="F13" i="1"/>
  <c r="F12" i="1"/>
  <c r="F11" i="1"/>
  <c r="F7" i="1"/>
  <c r="J14" i="1"/>
  <c r="T14" i="1"/>
  <c r="O9" i="1"/>
  <c r="O8" i="1"/>
  <c r="O7" i="1"/>
  <c r="T13" i="1"/>
  <c r="T12" i="1"/>
  <c r="T11" i="1"/>
  <c r="O13" i="1"/>
  <c r="T10" i="1"/>
  <c r="O12" i="1"/>
  <c r="T9" i="1"/>
  <c r="O11" i="1"/>
  <c r="T8" i="1"/>
  <c r="O10" i="1"/>
  <c r="T7" i="1"/>
  <c r="J12" i="1"/>
  <c r="J10" i="1"/>
  <c r="J9" i="1"/>
  <c r="J13" i="1"/>
  <c r="J8" i="1"/>
  <c r="J11" i="1"/>
  <c r="J7" i="1"/>
  <c r="E12" i="1"/>
  <c r="E11" i="1"/>
  <c r="E9" i="1"/>
  <c r="E10" i="1"/>
  <c r="E8" i="1"/>
  <c r="E13" i="1"/>
  <c r="E7" i="1"/>
</calcChain>
</file>

<file path=xl/sharedStrings.xml><?xml version="1.0" encoding="utf-8"?>
<sst xmlns="http://schemas.openxmlformats.org/spreadsheetml/2006/main" count="27" uniqueCount="21">
  <si>
    <t>T1 (Rep1)</t>
  </si>
  <si>
    <t>T1 (Rep2)</t>
  </si>
  <si>
    <t>T1 (Rep3)</t>
  </si>
  <si>
    <t>Mean</t>
  </si>
  <si>
    <t>T2 (Rep1)</t>
  </si>
  <si>
    <t>T2 (Rep2)</t>
  </si>
  <si>
    <t>T2 (Rep3)</t>
  </si>
  <si>
    <t>T3 (Rep1)</t>
  </si>
  <si>
    <t>T3 (Rep2)</t>
  </si>
  <si>
    <t>T3 (Rep3)</t>
  </si>
  <si>
    <t>T4 (Rep3)</t>
  </si>
  <si>
    <t>T4 (Rep1)</t>
  </si>
  <si>
    <t>T4 (Rep2)</t>
  </si>
  <si>
    <t xml:space="preserve">Level of mHLE </t>
  </si>
  <si>
    <t>Incubation time (h)</t>
  </si>
  <si>
    <t>T2 (4% of DM)</t>
  </si>
  <si>
    <t>T1 (0% of DM)</t>
  </si>
  <si>
    <t>T3 (6% of DM)</t>
  </si>
  <si>
    <t>T4 (8% of DM)</t>
  </si>
  <si>
    <t>SD</t>
  </si>
  <si>
    <r>
      <rPr>
        <b/>
        <sz val="12"/>
        <color theme="1"/>
        <rFont val="Times New Roman"/>
        <family val="1"/>
      </rPr>
      <t>S1 Table.</t>
    </r>
    <r>
      <rPr>
        <sz val="12"/>
        <color theme="1"/>
        <rFont val="Times New Roman"/>
        <family val="1"/>
      </rPr>
      <t xml:space="preserve"> Total amount of gas produced by mHLE during in an </t>
    </r>
    <r>
      <rPr>
        <i/>
        <sz val="12"/>
        <color theme="1"/>
        <rFont val="Times New Roman"/>
        <family val="1"/>
      </rPr>
      <t>in vitro</t>
    </r>
    <r>
      <rPr>
        <sz val="12"/>
        <color theme="1"/>
        <rFont val="Times New Roman"/>
        <family val="1"/>
      </rPr>
      <t xml:space="preserve"> fermentation at o to 96 h of incubation.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</si>
</sst>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2383-FCEB-4BC2-A030-7F840548907F}">
  <dimension ref="A2:AD14"/>
  <sheetViews>
    <sheetView tabSelected="1" workbookViewId="0">
      <selection activeCell="H21" sqref="H21"/>
    </sheetView>
  </sheetViews>
  <sheetFormatPr defaultRowHeight="14.25" x14ac:dyDescent="0.2"/>
  <cols>
    <col min="1" max="1" width="9.875" customWidth="1"/>
    <col min="2" max="2" width="6.625" customWidth="1"/>
    <col min="3" max="3" width="6.375" customWidth="1"/>
    <col min="4" max="4" width="6.875" customWidth="1"/>
    <col min="5" max="6" width="6.5" customWidth="1"/>
    <col min="7" max="7" width="6.875" customWidth="1"/>
    <col min="8" max="8" width="7" customWidth="1"/>
    <col min="9" max="9" width="6.75" customWidth="1"/>
    <col min="10" max="11" width="5.75" customWidth="1"/>
    <col min="12" max="12" width="6.75" customWidth="1"/>
    <col min="13" max="13" width="6.625" customWidth="1"/>
    <col min="14" max="14" width="7" customWidth="1"/>
    <col min="15" max="16" width="5.875" customWidth="1"/>
    <col min="17" max="17" width="7.375" customWidth="1"/>
    <col min="18" max="19" width="6.875" customWidth="1"/>
    <col min="20" max="20" width="6.625" customWidth="1"/>
    <col min="21" max="21" width="6.75" customWidth="1"/>
  </cols>
  <sheetData>
    <row r="2" spans="1:30" ht="15.75" x14ac:dyDescent="0.25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30" ht="15.75" x14ac:dyDescent="0.25">
      <c r="B3" s="10" t="s">
        <v>13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30" ht="15.75" x14ac:dyDescent="0.25">
      <c r="B4" s="11" t="s">
        <v>16</v>
      </c>
      <c r="C4" s="12"/>
      <c r="D4" s="12"/>
      <c r="E4" s="12"/>
      <c r="F4" s="13"/>
      <c r="G4" s="11" t="s">
        <v>15</v>
      </c>
      <c r="H4" s="12"/>
      <c r="I4" s="12"/>
      <c r="J4" s="12"/>
      <c r="K4" s="13"/>
      <c r="L4" s="11" t="s">
        <v>17</v>
      </c>
      <c r="M4" s="12"/>
      <c r="N4" s="12"/>
      <c r="O4" s="12"/>
      <c r="P4" s="13"/>
      <c r="Q4" s="11" t="s">
        <v>18</v>
      </c>
      <c r="R4" s="12"/>
      <c r="S4" s="12"/>
      <c r="T4" s="12"/>
      <c r="U4" s="13"/>
    </row>
    <row r="5" spans="1:30" ht="51.75" customHeight="1" x14ac:dyDescent="0.25">
      <c r="A5" s="2" t="s">
        <v>14</v>
      </c>
      <c r="B5" s="3" t="s">
        <v>0</v>
      </c>
      <c r="C5" s="3" t="s">
        <v>1</v>
      </c>
      <c r="D5" s="3" t="s">
        <v>2</v>
      </c>
      <c r="E5" s="4" t="s">
        <v>3</v>
      </c>
      <c r="F5" s="4" t="s">
        <v>19</v>
      </c>
      <c r="G5" s="3" t="s">
        <v>4</v>
      </c>
      <c r="H5" s="3" t="s">
        <v>5</v>
      </c>
      <c r="I5" s="3" t="s">
        <v>6</v>
      </c>
      <c r="J5" s="4" t="s">
        <v>3</v>
      </c>
      <c r="K5" s="4" t="s">
        <v>19</v>
      </c>
      <c r="L5" s="3" t="s">
        <v>7</v>
      </c>
      <c r="M5" s="3" t="s">
        <v>8</v>
      </c>
      <c r="N5" s="3" t="s">
        <v>9</v>
      </c>
      <c r="O5" s="4" t="s">
        <v>3</v>
      </c>
      <c r="P5" s="4" t="s">
        <v>19</v>
      </c>
      <c r="Q5" s="3" t="s">
        <v>11</v>
      </c>
      <c r="R5" s="3" t="s">
        <v>12</v>
      </c>
      <c r="S5" s="3" t="s">
        <v>10</v>
      </c>
      <c r="T5" s="4" t="s">
        <v>3</v>
      </c>
      <c r="U5" s="4" t="s">
        <v>19</v>
      </c>
    </row>
    <row r="6" spans="1:30" ht="18" x14ac:dyDescent="0.25">
      <c r="A6" s="5">
        <v>2</v>
      </c>
      <c r="B6" s="6">
        <v>0.5</v>
      </c>
      <c r="C6" s="6">
        <v>1</v>
      </c>
      <c r="D6" s="6">
        <v>2</v>
      </c>
      <c r="E6" s="7">
        <f>AVERAGE(B6:D6)</f>
        <v>1.1666666666666667</v>
      </c>
      <c r="F6" s="7">
        <f>STDEV(B6:D6)</f>
        <v>0.76376261582597338</v>
      </c>
      <c r="G6" s="6">
        <v>1.8</v>
      </c>
      <c r="H6" s="6">
        <v>2</v>
      </c>
      <c r="I6" s="6">
        <v>1.8</v>
      </c>
      <c r="J6" s="7">
        <f>AVERAGE(G6:I6)</f>
        <v>1.8666666666666665</v>
      </c>
      <c r="K6" s="7">
        <f>STDEV(G6:I6)</f>
        <v>0.11547005383792514</v>
      </c>
      <c r="L6" s="6">
        <v>3</v>
      </c>
      <c r="M6" s="6">
        <v>0.8</v>
      </c>
      <c r="N6" s="6">
        <v>1.8</v>
      </c>
      <c r="O6" s="7">
        <f>AVERAGE(L6:N6)</f>
        <v>1.8666666666666665</v>
      </c>
      <c r="P6" s="7">
        <f>STDEV(L6:N6)</f>
        <v>1.1015141094572209</v>
      </c>
      <c r="Q6" s="6">
        <v>2.4</v>
      </c>
      <c r="R6" s="6">
        <v>1</v>
      </c>
      <c r="S6" s="6">
        <v>2.1</v>
      </c>
      <c r="T6" s="8">
        <f>AVERAGE(Q6:S6)</f>
        <v>1.8333333333333333</v>
      </c>
      <c r="U6" s="7">
        <f>STDEV(Q6:S6)</f>
        <v>0.73711147958319911</v>
      </c>
      <c r="V6" s="1"/>
      <c r="W6" s="1"/>
      <c r="X6" s="1"/>
      <c r="Y6" s="1"/>
      <c r="Z6" s="1"/>
      <c r="AA6" s="1"/>
      <c r="AB6" s="1"/>
      <c r="AC6" s="1"/>
      <c r="AD6" s="1"/>
    </row>
    <row r="7" spans="1:30" ht="15.75" x14ac:dyDescent="0.25">
      <c r="A7" s="9">
        <v>4</v>
      </c>
      <c r="B7" s="6">
        <v>1.8</v>
      </c>
      <c r="C7" s="6">
        <f>C6+2</f>
        <v>3</v>
      </c>
      <c r="D7" s="6">
        <f>D6+1.2</f>
        <v>3.2</v>
      </c>
      <c r="E7" s="7">
        <f t="shared" ref="E7:E14" si="0">AVERAGE(B7:D7)</f>
        <v>2.6666666666666665</v>
      </c>
      <c r="F7" s="7">
        <f t="shared" ref="F7:F14" si="1">STDEV(B7:D7)</f>
        <v>0.75718777944003823</v>
      </c>
      <c r="G7" s="6">
        <f>G6+1.2</f>
        <v>3</v>
      </c>
      <c r="H7" s="6">
        <f>H6+1.4</f>
        <v>3.4</v>
      </c>
      <c r="I7" s="6">
        <f>I6+1.2</f>
        <v>3</v>
      </c>
      <c r="J7" s="7">
        <f t="shared" ref="J7:J14" si="2">AVERAGE(G7:I7)</f>
        <v>3.1333333333333333</v>
      </c>
      <c r="K7" s="7">
        <f t="shared" ref="K7:K14" si="3">STDEV(G7:I7)</f>
        <v>0.23094010767585024</v>
      </c>
      <c r="L7" s="6">
        <f>L6+2</f>
        <v>5</v>
      </c>
      <c r="M7" s="6">
        <f>M6+1.8</f>
        <v>2.6</v>
      </c>
      <c r="N7" s="6">
        <f>N6+2</f>
        <v>3.8</v>
      </c>
      <c r="O7" s="7">
        <f t="shared" ref="O7:O14" si="4">AVERAGE(L7:N7)</f>
        <v>3.7999999999999994</v>
      </c>
      <c r="P7" s="7">
        <f t="shared" ref="P7:P14" si="5">STDEV(L7:N7)</f>
        <v>1.200000000000002</v>
      </c>
      <c r="Q7" s="6">
        <f>Q6+1.8</f>
        <v>4.2</v>
      </c>
      <c r="R7" s="6">
        <f>R6+2.1</f>
        <v>3.1</v>
      </c>
      <c r="S7" s="6">
        <f>S6+1.2</f>
        <v>3.3</v>
      </c>
      <c r="T7" s="8">
        <f t="shared" ref="T7:T14" si="6">AVERAGE(Q7:S7)</f>
        <v>3.5333333333333337</v>
      </c>
      <c r="U7" s="7">
        <f t="shared" ref="U7:U14" si="7">STDEV(Q7:S7)</f>
        <v>0.58594652770822886</v>
      </c>
    </row>
    <row r="8" spans="1:30" ht="15.75" x14ac:dyDescent="0.25">
      <c r="A8" s="9">
        <v>6</v>
      </c>
      <c r="B8" s="6">
        <v>6.7</v>
      </c>
      <c r="C8" s="6">
        <f>C7+6.4</f>
        <v>9.4</v>
      </c>
      <c r="D8" s="6">
        <f>D7+4</f>
        <v>7.2</v>
      </c>
      <c r="E8" s="7">
        <f t="shared" si="0"/>
        <v>7.7666666666666666</v>
      </c>
      <c r="F8" s="7">
        <f t="shared" si="1"/>
        <v>1.4364307617610159</v>
      </c>
      <c r="G8" s="6">
        <f>G7+3.5</f>
        <v>6.5</v>
      </c>
      <c r="H8" s="6">
        <f>3.3+H7</f>
        <v>6.6999999999999993</v>
      </c>
      <c r="I8" s="6">
        <f>I7+3.8</f>
        <v>6.8</v>
      </c>
      <c r="J8" s="7">
        <f t="shared" si="2"/>
        <v>6.666666666666667</v>
      </c>
      <c r="K8" s="7">
        <f t="shared" si="3"/>
        <v>0.15275252316519453</v>
      </c>
      <c r="L8" s="6">
        <f>L7+4.2</f>
        <v>9.1999999999999993</v>
      </c>
      <c r="M8" s="6">
        <f>M7+4</f>
        <v>6.6</v>
      </c>
      <c r="N8" s="6">
        <f>N7+4.2</f>
        <v>8</v>
      </c>
      <c r="O8" s="7">
        <f t="shared" si="4"/>
        <v>7.9333333333333327</v>
      </c>
      <c r="P8" s="7">
        <f t="shared" si="5"/>
        <v>1.3012814197295512</v>
      </c>
      <c r="Q8" s="6">
        <f>Q7+3</f>
        <v>7.2</v>
      </c>
      <c r="R8" s="6">
        <f>R7+5</f>
        <v>8.1</v>
      </c>
      <c r="S8" s="6">
        <f>S7+2.8</f>
        <v>6.1</v>
      </c>
      <c r="T8" s="8">
        <f t="shared" si="6"/>
        <v>7.1333333333333329</v>
      </c>
      <c r="U8" s="7">
        <f t="shared" si="7"/>
        <v>1.0016652800877868</v>
      </c>
    </row>
    <row r="9" spans="1:30" ht="15.75" x14ac:dyDescent="0.25">
      <c r="A9" s="9">
        <v>8</v>
      </c>
      <c r="B9" s="6">
        <v>10.6</v>
      </c>
      <c r="C9" s="6">
        <f>C8+4.2</f>
        <v>13.600000000000001</v>
      </c>
      <c r="D9" s="6">
        <f>D8+3.2</f>
        <v>10.4</v>
      </c>
      <c r="E9" s="7">
        <f t="shared" si="0"/>
        <v>11.533333333333333</v>
      </c>
      <c r="F9" s="7">
        <f t="shared" si="1"/>
        <v>1.7925772879665096</v>
      </c>
      <c r="G9" s="6">
        <f>G8+2.9</f>
        <v>9.4</v>
      </c>
      <c r="H9" s="6">
        <f>3.2+H8</f>
        <v>9.8999999999999986</v>
      </c>
      <c r="I9" s="6">
        <f>I8+3.9</f>
        <v>10.7</v>
      </c>
      <c r="J9" s="7">
        <f t="shared" si="2"/>
        <v>9.9999999999999982</v>
      </c>
      <c r="K9" s="7">
        <f t="shared" si="3"/>
        <v>0.65574385243019961</v>
      </c>
      <c r="L9" s="6">
        <f>L8+4.6</f>
        <v>13.799999999999999</v>
      </c>
      <c r="M9" s="6">
        <f>M8+4.6</f>
        <v>11.2</v>
      </c>
      <c r="N9" s="6">
        <f>N8+4.6</f>
        <v>12.6</v>
      </c>
      <c r="O9" s="7">
        <f t="shared" si="4"/>
        <v>12.533333333333333</v>
      </c>
      <c r="P9" s="7">
        <f t="shared" si="5"/>
        <v>1.3012814197295421</v>
      </c>
      <c r="Q9" s="6">
        <f>Q8+3.4</f>
        <v>10.6</v>
      </c>
      <c r="R9" s="6">
        <f>R8+5.4</f>
        <v>13.5</v>
      </c>
      <c r="S9" s="6">
        <f>S8+3.6</f>
        <v>9.6999999999999993</v>
      </c>
      <c r="T9" s="8">
        <f t="shared" si="6"/>
        <v>11.266666666666666</v>
      </c>
      <c r="U9" s="7">
        <f t="shared" si="7"/>
        <v>1.9857828011475365</v>
      </c>
    </row>
    <row r="10" spans="1:30" ht="15.75" x14ac:dyDescent="0.25">
      <c r="A10" s="9">
        <v>12</v>
      </c>
      <c r="B10" s="6">
        <v>23.1</v>
      </c>
      <c r="C10" s="6">
        <f>C9+13</f>
        <v>26.6</v>
      </c>
      <c r="D10" s="6">
        <f>12+D9</f>
        <v>22.4</v>
      </c>
      <c r="E10" s="7">
        <f t="shared" si="0"/>
        <v>24.033333333333331</v>
      </c>
      <c r="F10" s="7">
        <f t="shared" si="1"/>
        <v>2.2501851775650237</v>
      </c>
      <c r="G10" s="6">
        <f>10.3+G9</f>
        <v>19.700000000000003</v>
      </c>
      <c r="H10" s="6">
        <f>H9+8.8</f>
        <v>18.7</v>
      </c>
      <c r="I10" s="6">
        <f>I9+9</f>
        <v>19.7</v>
      </c>
      <c r="J10" s="7">
        <f t="shared" si="2"/>
        <v>19.366666666666671</v>
      </c>
      <c r="K10" s="7">
        <f t="shared" si="3"/>
        <v>0.57735026918962684</v>
      </c>
      <c r="L10" s="6">
        <f>L9+11</f>
        <v>24.799999999999997</v>
      </c>
      <c r="M10" s="6">
        <f>M9+11.6</f>
        <v>22.799999999999997</v>
      </c>
      <c r="N10" s="6">
        <f>N9+11</f>
        <v>23.6</v>
      </c>
      <c r="O10" s="7">
        <f t="shared" si="4"/>
        <v>23.733333333333331</v>
      </c>
      <c r="P10" s="7">
        <f t="shared" si="5"/>
        <v>1.0066445913694331</v>
      </c>
      <c r="Q10" s="6">
        <f>Q9+10</f>
        <v>20.6</v>
      </c>
      <c r="R10" s="6">
        <f>R9+12.5</f>
        <v>26</v>
      </c>
      <c r="S10" s="6">
        <f>S9+12</f>
        <v>21.7</v>
      </c>
      <c r="T10" s="8">
        <f t="shared" si="6"/>
        <v>22.766666666666666</v>
      </c>
      <c r="U10" s="7">
        <f t="shared" si="7"/>
        <v>2.853652630109949</v>
      </c>
    </row>
    <row r="11" spans="1:30" ht="15.75" x14ac:dyDescent="0.25">
      <c r="A11" s="9">
        <v>24</v>
      </c>
      <c r="B11" s="6">
        <f>B10+28</f>
        <v>51.1</v>
      </c>
      <c r="C11" s="6">
        <f>C10+29</f>
        <v>55.6</v>
      </c>
      <c r="D11" s="6">
        <f>D10+26.5</f>
        <v>48.9</v>
      </c>
      <c r="E11" s="7">
        <f t="shared" si="0"/>
        <v>51.866666666666667</v>
      </c>
      <c r="F11" s="7">
        <f t="shared" si="1"/>
        <v>3.415162270424839</v>
      </c>
      <c r="G11" s="6">
        <f>G10+18.5</f>
        <v>38.200000000000003</v>
      </c>
      <c r="H11" s="6">
        <f>H10+18</f>
        <v>36.700000000000003</v>
      </c>
      <c r="I11" s="6">
        <f>I10+20</f>
        <v>39.700000000000003</v>
      </c>
      <c r="J11" s="7">
        <f t="shared" si="2"/>
        <v>38.200000000000003</v>
      </c>
      <c r="K11" s="7">
        <f t="shared" si="3"/>
        <v>1.5</v>
      </c>
      <c r="L11" s="6">
        <f>L10+19.5</f>
        <v>44.3</v>
      </c>
      <c r="M11" s="6">
        <f>M10+19.5</f>
        <v>42.3</v>
      </c>
      <c r="N11" s="6">
        <f>N10+19.5</f>
        <v>43.1</v>
      </c>
      <c r="O11" s="7">
        <f t="shared" si="4"/>
        <v>43.233333333333327</v>
      </c>
      <c r="P11" s="7">
        <f t="shared" si="5"/>
        <v>1.0066445913694331</v>
      </c>
      <c r="Q11" s="6">
        <f>Q10+18</f>
        <v>38.6</v>
      </c>
      <c r="R11" s="6">
        <f>R10+19</f>
        <v>45</v>
      </c>
      <c r="S11" s="6">
        <f>S10+15.5</f>
        <v>37.200000000000003</v>
      </c>
      <c r="T11" s="8">
        <f t="shared" si="6"/>
        <v>40.266666666666666</v>
      </c>
      <c r="U11" s="7">
        <f t="shared" si="7"/>
        <v>4.15852537966685</v>
      </c>
    </row>
    <row r="12" spans="1:30" ht="15.75" x14ac:dyDescent="0.25">
      <c r="A12" s="9">
        <v>48</v>
      </c>
      <c r="B12" s="6">
        <f>B11+24</f>
        <v>75.099999999999994</v>
      </c>
      <c r="C12" s="6">
        <f>C11+25</f>
        <v>80.599999999999994</v>
      </c>
      <c r="D12" s="6">
        <f>D11+24</f>
        <v>72.900000000000006</v>
      </c>
      <c r="E12" s="7">
        <f t="shared" si="0"/>
        <v>76.2</v>
      </c>
      <c r="F12" s="7">
        <f t="shared" si="1"/>
        <v>3.9661064030103832</v>
      </c>
      <c r="G12" s="6">
        <f>G11+15</f>
        <v>53.2</v>
      </c>
      <c r="H12" s="6">
        <f>H11+16</f>
        <v>52.7</v>
      </c>
      <c r="I12" s="6">
        <f>I11+15</f>
        <v>54.7</v>
      </c>
      <c r="J12" s="7">
        <f t="shared" si="2"/>
        <v>53.533333333333339</v>
      </c>
      <c r="K12" s="7">
        <f t="shared" si="3"/>
        <v>1.0408329997330665</v>
      </c>
      <c r="L12" s="6">
        <f>16+L11</f>
        <v>60.3</v>
      </c>
      <c r="M12" s="6">
        <f>M11+15</f>
        <v>57.3</v>
      </c>
      <c r="N12" s="6">
        <f>N11+16</f>
        <v>59.1</v>
      </c>
      <c r="O12" s="7">
        <f t="shared" si="4"/>
        <v>58.9</v>
      </c>
      <c r="P12" s="7">
        <f t="shared" si="5"/>
        <v>1.5099668870541503</v>
      </c>
      <c r="Q12" s="6">
        <f>Q11+15</f>
        <v>53.6</v>
      </c>
      <c r="R12" s="6">
        <f>R11+15</f>
        <v>60</v>
      </c>
      <c r="S12" s="6">
        <f>S11+13</f>
        <v>50.2</v>
      </c>
      <c r="T12" s="8">
        <f t="shared" si="6"/>
        <v>54.6</v>
      </c>
      <c r="U12" s="7">
        <f t="shared" si="7"/>
        <v>4.97594212184989</v>
      </c>
    </row>
    <row r="13" spans="1:30" ht="15.75" x14ac:dyDescent="0.25">
      <c r="A13" s="9">
        <v>72</v>
      </c>
      <c r="B13" s="6">
        <f>B12+20</f>
        <v>95.1</v>
      </c>
      <c r="C13" s="6">
        <f>C12+19</f>
        <v>99.6</v>
      </c>
      <c r="D13" s="6">
        <f>D12+13</f>
        <v>85.9</v>
      </c>
      <c r="E13" s="7">
        <f t="shared" si="0"/>
        <v>93.533333333333346</v>
      </c>
      <c r="F13" s="7">
        <f t="shared" si="1"/>
        <v>6.9830747764386176</v>
      </c>
      <c r="G13" s="6">
        <f>G12+14</f>
        <v>67.2</v>
      </c>
      <c r="H13" s="6">
        <f>H12+15</f>
        <v>67.7</v>
      </c>
      <c r="I13" s="6">
        <f>I12+14</f>
        <v>68.7</v>
      </c>
      <c r="J13" s="7">
        <f t="shared" si="2"/>
        <v>67.866666666666674</v>
      </c>
      <c r="K13" s="7">
        <f t="shared" si="3"/>
        <v>0.76376261582597327</v>
      </c>
      <c r="L13" s="6">
        <f>L12+15</f>
        <v>75.3</v>
      </c>
      <c r="M13" s="6">
        <f>M12+15</f>
        <v>72.3</v>
      </c>
      <c r="N13" s="6">
        <f>N12+14</f>
        <v>73.099999999999994</v>
      </c>
      <c r="O13" s="7">
        <f t="shared" si="4"/>
        <v>73.566666666666663</v>
      </c>
      <c r="P13" s="7">
        <f t="shared" si="5"/>
        <v>1.5534906930308063</v>
      </c>
      <c r="Q13" s="6">
        <f>Q12+14</f>
        <v>67.599999999999994</v>
      </c>
      <c r="R13" s="6">
        <f>R12+15</f>
        <v>75</v>
      </c>
      <c r="S13" s="6">
        <f>S12+11</f>
        <v>61.2</v>
      </c>
      <c r="T13" s="8">
        <f t="shared" si="6"/>
        <v>67.933333333333337</v>
      </c>
      <c r="U13" s="7">
        <f t="shared" si="7"/>
        <v>6.9060360072427445</v>
      </c>
    </row>
    <row r="14" spans="1:30" ht="15.75" x14ac:dyDescent="0.25">
      <c r="A14" s="9">
        <v>96</v>
      </c>
      <c r="B14" s="6">
        <f>B13+14</f>
        <v>109.1</v>
      </c>
      <c r="C14" s="6">
        <f>C13+9.5</f>
        <v>109.1</v>
      </c>
      <c r="D14" s="6">
        <f>D13+8.5</f>
        <v>94.4</v>
      </c>
      <c r="E14" s="7">
        <f t="shared" si="0"/>
        <v>104.2</v>
      </c>
      <c r="F14" s="7">
        <f t="shared" si="1"/>
        <v>8.4870489570874916</v>
      </c>
      <c r="G14" s="6">
        <f>G13+14.5</f>
        <v>81.7</v>
      </c>
      <c r="H14" s="6">
        <f>H13+14</f>
        <v>81.7</v>
      </c>
      <c r="I14" s="6">
        <f>I13+15</f>
        <v>83.7</v>
      </c>
      <c r="J14" s="7">
        <f t="shared" si="2"/>
        <v>82.366666666666674</v>
      </c>
      <c r="K14" s="7">
        <f t="shared" si="3"/>
        <v>1.1547005383792517</v>
      </c>
      <c r="L14" s="6">
        <f>L13+16</f>
        <v>91.3</v>
      </c>
      <c r="M14" s="6">
        <f>M13+14.5</f>
        <v>86.8</v>
      </c>
      <c r="N14" s="6">
        <f>N13+14.5</f>
        <v>87.6</v>
      </c>
      <c r="O14" s="7">
        <f t="shared" si="4"/>
        <v>88.566666666666663</v>
      </c>
      <c r="P14" s="7">
        <f t="shared" si="5"/>
        <v>2.4006943440041124</v>
      </c>
      <c r="Q14" s="6">
        <f>Q13+11</f>
        <v>78.599999999999994</v>
      </c>
      <c r="R14" s="6">
        <f>R13+13.5</f>
        <v>88.5</v>
      </c>
      <c r="S14" s="6">
        <f>S13+11</f>
        <v>72.2</v>
      </c>
      <c r="T14" s="8">
        <f t="shared" si="6"/>
        <v>79.766666666666666</v>
      </c>
      <c r="U14" s="7">
        <f t="shared" si="7"/>
        <v>8.2123890149781218</v>
      </c>
    </row>
  </sheetData>
  <mergeCells count="5">
    <mergeCell ref="B3:U3"/>
    <mergeCell ref="B4:F4"/>
    <mergeCell ref="G4:K4"/>
    <mergeCell ref="L4:P4"/>
    <mergeCell ref="Q4:U4"/>
  </mergeCells>
  <phoneticPr fontId="2" type="noConversion"/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Cumulative 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นายมหาราช มาตรา</dc:creator>
  <cp:lastModifiedBy>Srisan Phupaboon</cp:lastModifiedBy>
  <dcterms:created xsi:type="dcterms:W3CDTF">2024-06-26T07:44:31Z</dcterms:created>
  <dcterms:modified xsi:type="dcterms:W3CDTF">2024-10-12T07:05:21Z</dcterms:modified>
</cp:coreProperties>
</file>