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Users/krushkalj/Documents/Manuscripts/TREX1/Molecular Oncology/"/>
    </mc:Choice>
  </mc:AlternateContent>
  <xr:revisionPtr revIDLastSave="0" documentId="13_ncr:1_{571DF8AA-7C07-9E44-81A4-21F8887AA4A9}" xr6:coauthVersionLast="47" xr6:coauthVersionMax="47" xr10:uidLastSave="{00000000-0000-0000-0000-000000000000}"/>
  <bookViews>
    <workbookView xWindow="0" yWindow="680" windowWidth="29920" windowHeight="17820" xr2:uid="{5D394D56-6A63-4D2D-BE8C-0967D9232792}"/>
  </bookViews>
  <sheets>
    <sheet name="Table_S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10" i="2" l="1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</calcChain>
</file>

<file path=xl/sharedStrings.xml><?xml version="1.0" encoding="utf-8"?>
<sst xmlns="http://schemas.openxmlformats.org/spreadsheetml/2006/main" count="1827" uniqueCount="1354">
  <si>
    <t>Table S1. TREX1 and TREX2 sequences collected using blastp searches of the NCBI RefSeq database using human TREX1b (NP_338599.1) as a query, with addition of human TREX1a isoform from GenPept</t>
  </si>
  <si>
    <t>The blastp search identified 899 protein hits, which included human TREX1 b and c isoforms, and human TREX2.</t>
  </si>
  <si>
    <t>The human TREX1 isoform a is a part of the RefSeq collection. It was added manually to the the protein alignment using NCBI GenPept entry ID AAH23630.1.</t>
  </si>
  <si>
    <r>
      <t xml:space="preserve">Five short sequences with length ≤ 130 aa (XP_007456694.1 from </t>
    </r>
    <r>
      <rPr>
        <i/>
        <sz val="12"/>
        <color rgb="FF000000"/>
        <rFont val="Calibri"/>
        <family val="2"/>
      </rPr>
      <t>Lipotes vexillifer</t>
    </r>
    <r>
      <rPr>
        <sz val="12"/>
        <color rgb="FF000000"/>
        <rFont val="Calibri"/>
        <family val="2"/>
      </rPr>
      <t>, XP_008510310.1 from</t>
    </r>
    <r>
      <rPr>
        <i/>
        <sz val="12"/>
        <color rgb="FF000000"/>
        <rFont val="Calibri"/>
        <family val="2"/>
      </rPr>
      <t xml:space="preserve"> Equus przewalskii</t>
    </r>
    <r>
      <rPr>
        <sz val="12"/>
        <color rgb="FF000000"/>
        <rFont val="Calibri"/>
        <family val="2"/>
      </rPr>
      <t xml:space="preserve">,  </t>
    </r>
  </si>
  <si>
    <r>
      <rPr>
        <sz val="11"/>
        <color theme="1"/>
        <rFont val="Calibri"/>
        <family val="2"/>
        <scheme val="minor"/>
      </rPr>
      <t xml:space="preserve">XP_022101031.1 from </t>
    </r>
    <r>
      <rPr>
        <i/>
        <sz val="12"/>
        <color theme="1"/>
        <rFont val="Calibri"/>
        <family val="2"/>
        <scheme val="minor"/>
      </rPr>
      <t>Acanthaster planci</t>
    </r>
    <r>
      <rPr>
        <sz val="11"/>
        <color theme="1"/>
        <rFont val="Calibri"/>
        <family val="2"/>
        <scheme val="minor"/>
      </rPr>
      <t xml:space="preserve">, and XP_033115441.1 and XP_033096606.1, both from </t>
    </r>
    <r>
      <rPr>
        <i/>
        <sz val="12"/>
        <color theme="1"/>
        <rFont val="Calibri"/>
        <family val="2"/>
        <scheme val="minor"/>
      </rPr>
      <t>Anneissia japonica,</t>
    </r>
  </si>
  <si>
    <t xml:space="preserve">ranging in length from 78 to 130 aa), were not included in the alignment. </t>
  </si>
  <si>
    <t xml:space="preserve">Accession  </t>
  </si>
  <si>
    <t>Acc. Len</t>
  </si>
  <si>
    <t>Description</t>
  </si>
  <si>
    <t>Scientific Name</t>
  </si>
  <si>
    <t>Max Score</t>
  </si>
  <si>
    <t>Total Score</t>
  </si>
  <si>
    <t>Query Cover</t>
  </si>
  <si>
    <t>E value</t>
  </si>
  <si>
    <t>Per. ident</t>
  </si>
  <si>
    <t>Comment</t>
  </si>
  <si>
    <t>three-prime repair exonuclease 1-like [Acanthaster planci]</t>
  </si>
  <si>
    <t>Acanthaster planci</t>
  </si>
  <si>
    <t>Not included in alignment due to length &lt;= 130 aa</t>
  </si>
  <si>
    <t>uncharacterized protein LOC110984809 [Acanthaster planci]</t>
  </si>
  <si>
    <t>three prime repair exonuclease 2 [Acinonyx jubatus]</t>
  </si>
  <si>
    <t>Acinonyx jubatus</t>
  </si>
  <si>
    <t>LOW QUALITY PROTEIN: three prime repair exonuclease 2-like [Acipenser ruthenus]</t>
  </si>
  <si>
    <t>Acipenser ruthenus</t>
  </si>
  <si>
    <t>three prime repair exonuclease 2-like [Acipenser ruthenus]</t>
  </si>
  <si>
    <t>three prime repair exonuclease 2-like isoform X1 [Acipenser ruthenus]</t>
  </si>
  <si>
    <t>three prime repair exonuclease 2-like isoform X2 [Acipenser ruthenus]</t>
  </si>
  <si>
    <t>PREDICTED: uncharacterized protein LOC105145485 isoform X1 [Acromyrmex echinatior]</t>
  </si>
  <si>
    <t>Acromyrmex echinatior</t>
  </si>
  <si>
    <t>PREDICTED: three prime repair exonuclease 2-like [Acropora digitifera]</t>
  </si>
  <si>
    <t>Acropora digitifera</t>
  </si>
  <si>
    <t>three prime repair exonuclease 2-like [Acropora millepora]</t>
  </si>
  <si>
    <t>Acropora millepora</t>
  </si>
  <si>
    <t>three-prime repair exonuclease 1-like [Actinia tenebrosa]</t>
  </si>
  <si>
    <t>Actinia tenebrosa</t>
  </si>
  <si>
    <t>uncharacterized protein LOC5563618 [Aedes aegypti]</t>
  </si>
  <si>
    <t>Aedes aegypti</t>
  </si>
  <si>
    <t>three prime repair exonuclease 2-like [Aedes albopictus]</t>
  </si>
  <si>
    <t>Aedes albopictus</t>
  </si>
  <si>
    <t>three-prime repair exonuclease 1-like [Aedes albopictus]</t>
  </si>
  <si>
    <t>PREDICTED: three prime repair exonuclease 2-like [Aethina tumida]</t>
  </si>
  <si>
    <t>Aethina tumida</t>
  </si>
  <si>
    <t>uncharacterized protein LOC108735513 [Agrilus planipennis]</t>
  </si>
  <si>
    <t>Agrilus planipennis</t>
  </si>
  <si>
    <t>three prime repair exonuclease 2 [Ailuropoda melanoleuca]</t>
  </si>
  <si>
    <t>Ailuropoda melanoleuca</t>
  </si>
  <si>
    <t>three-prime repair exonuclease 1 [Ailuropoda melanoleuca]</t>
  </si>
  <si>
    <t>uncharacterized protein LOC122373738 isoform X1 [Amphibalanus amphitrite]</t>
  </si>
  <si>
    <t>Amphibalanus amphitrite</t>
  </si>
  <si>
    <t>uncharacterized protein LOC122373738 isoform X2 [Amphibalanus amphitrite]</t>
  </si>
  <si>
    <t>uncharacterized protein LOC122392224 [Amphibalanus amphitrite]</t>
  </si>
  <si>
    <t>PREDICTED: three-prime repair exonuclease 1-like [Amyelois transitella]</t>
  </si>
  <si>
    <t>Amyelois transitella</t>
  </si>
  <si>
    <t>three prime repair exonuclease 2-like [Anneissia japonica]</t>
  </si>
  <si>
    <t>Anneissia japonica</t>
  </si>
  <si>
    <t>three-prime repair exonuclease 1-like [Anneissia japonica]</t>
  </si>
  <si>
    <t>PREDICTED: three prime repair exonuclease 2 [Anolis carolinensis]</t>
  </si>
  <si>
    <t>Anolis carolinensis</t>
  </si>
  <si>
    <t>PREDICTED: three-prime repair exonuclease 1 [Anolis carolinensis]</t>
  </si>
  <si>
    <t>uncharacterized protein LOC118463127 [Anopheles albimanus]</t>
  </si>
  <si>
    <t>Anopheles albimanus</t>
  </si>
  <si>
    <t>uncharacterized protein LOC120900078 [Anopheles arabiensis]</t>
  </si>
  <si>
    <t>Anopheles arabiensis</t>
  </si>
  <si>
    <t>uncharacterized protein LOC120950942 [Anopheles coluzzii]</t>
  </si>
  <si>
    <t>Anopheles coluzzii</t>
  </si>
  <si>
    <t>uncharacterized protein LOC125767680 [Anopheles funestus]</t>
  </si>
  <si>
    <t>Anopheles funestus</t>
  </si>
  <si>
    <t>AGAP006662-PA [Anopheles gambiae str. PEST]</t>
  </si>
  <si>
    <t>Anopheles gambiae str. PEST</t>
  </si>
  <si>
    <t>uncharacterized protein LOC121593757 [Anopheles merus]</t>
  </si>
  <si>
    <t>Anopheles merus</t>
  </si>
  <si>
    <t>LOW QUALITY PROTEIN: uncharacterized protein LOC118514262 [Anopheles stephensi]</t>
  </si>
  <si>
    <t>Anopheles stephensi</t>
  </si>
  <si>
    <t>three-prime repair exonuclease 1 isoform X2 [Anoplophora glabripennis]</t>
  </si>
  <si>
    <t>Anoplophora glabripennis</t>
  </si>
  <si>
    <t>uncharacterized protein LOC108913597 isoform X1 [Anoplophora glabripennis]</t>
  </si>
  <si>
    <t>v-trex [Antheraea pernyi nucleopolyhedrovirus]</t>
  </si>
  <si>
    <t>Antheraea pernyi nucleopolyhedrovirus</t>
  </si>
  <si>
    <t>EXO III v-trex [Anticarsia gemmatalis multiple nucleopolyhedrovirus]</t>
  </si>
  <si>
    <t>Anticarsia gemmatalis multiple nucleopolyhedrovirus</t>
  </si>
  <si>
    <t>EXO III v-trex [Anticarsia gemmatalis nucleopolyhedrovirus]</t>
  </si>
  <si>
    <t>Anticarsia gemmatalis nucleopolyhedrovirus</t>
  </si>
  <si>
    <t>three prime repair exonuclease 2 [Aotus nancymaae]</t>
  </si>
  <si>
    <t>Aotus nancymaae</t>
  </si>
  <si>
    <t>three-prime repair exonuclease 1 [Aotus nancymaae]</t>
  </si>
  <si>
    <t>uncharacterized protein LOC107998572 [Apis cerana]</t>
  </si>
  <si>
    <t>Apis cerana</t>
  </si>
  <si>
    <t>uncharacterized protein LOC102673353 [Apis dorsata]</t>
  </si>
  <si>
    <t>Apis dorsata</t>
  </si>
  <si>
    <t>uncharacterized protein MAL13P1.304 [Apis florea]</t>
  </si>
  <si>
    <t>Apis florea</t>
  </si>
  <si>
    <t>uncharacterized protein LOC122710650 [Apis laboriosa]</t>
  </si>
  <si>
    <t>Apis laboriosa</t>
  </si>
  <si>
    <t>three prime repair exonuclease 2 isoform X2 [Apis mellifera]</t>
  </si>
  <si>
    <t>Apis mellifera</t>
  </si>
  <si>
    <t>three prime repair exonuclease 2 isoform X3 [Apis mellifera]</t>
  </si>
  <si>
    <t>uncharacterized protein LOC100577651 isoform X1 [Apis mellifera]</t>
  </si>
  <si>
    <t>three prime repair exonuclease 2 [Aplysia californica]</t>
  </si>
  <si>
    <t>Aplysia californica</t>
  </si>
  <si>
    <t>three-prime repair exonuclease 1 [Aplysia californica]</t>
  </si>
  <si>
    <t>uncharacterized protein LOC101851949 [Aplysia californica]</t>
  </si>
  <si>
    <t>uncharacterized protein LOC106012576 [Aplysia californica]</t>
  </si>
  <si>
    <t>PREDICTED: LOW QUALITY PROTEIN: three-prime repair exonuclease 1 [Apteryx mantelli mantelli]</t>
  </si>
  <si>
    <t>Apteryx mantelli mantelli</t>
  </si>
  <si>
    <t>three-prime repair exonuclease 1-like [Aricia agestis]</t>
  </si>
  <si>
    <t>Aricia agestis</t>
  </si>
  <si>
    <t>uncharacterized protein LOC121737665 [Aricia agestis]</t>
  </si>
  <si>
    <t>three prime repair exonuclease 2 [Artibeus jamaicensis]</t>
  </si>
  <si>
    <t>Artibeus jamaicensis</t>
  </si>
  <si>
    <t>three-prime repair exonuclease 1 [Artibeus jamaicensis]</t>
  </si>
  <si>
    <t>three prime repair exonuclease 2 [Arvicanthis niloticus]</t>
  </si>
  <si>
    <t>Arvicanthis niloticus</t>
  </si>
  <si>
    <t>three-prime repair exonuclease 1 [Arvicanthis niloticus]</t>
  </si>
  <si>
    <t>three prime repair exonuclease 2 [Arvicola amphibius]</t>
  </si>
  <si>
    <t>Arvicola amphibius</t>
  </si>
  <si>
    <t>three-prime repair exonuclease 1 [Arvicola amphibius]</t>
  </si>
  <si>
    <t>uncharacterized protein LOC117303298 [Asterias rubens]</t>
  </si>
  <si>
    <t>Asterias rubens</t>
  </si>
  <si>
    <t>three-prime repair exonuclease 1 isoform X1 [Athalia rosae]</t>
  </si>
  <si>
    <t>Athalia rosae</t>
  </si>
  <si>
    <t>three-prime repair exonuclease 1 isoform X2 [Athalia rosae]</t>
  </si>
  <si>
    <t>three-prime repair exonuclease 1 isoform X4 [Athalia rosae]</t>
  </si>
  <si>
    <t>uncharacterized protein LOC105693072 isoform X3 [Athalia rosae]</t>
  </si>
  <si>
    <t>PREDICTED: three prime repair exonuclease 2 [Atta cephalotes]</t>
  </si>
  <si>
    <t>Atta cephalotes</t>
  </si>
  <si>
    <t>PREDICTED: uncharacterized protein LOC108685250 [Atta colombica]</t>
  </si>
  <si>
    <t>Atta colombica</t>
  </si>
  <si>
    <t>LOW QUALITY PROTEIN: three-prime repair exonuclease 1 [Bactrocera dorsalis]</t>
  </si>
  <si>
    <t>Bactrocera dorsalis</t>
  </si>
  <si>
    <t>uncharacterized protein LOC105223716 [Bactrocera dorsalis]</t>
  </si>
  <si>
    <t>PREDICTED: three prime repair exonuclease 2-like [Bactrocera latifrons]</t>
  </si>
  <si>
    <t>Bactrocera latifrons</t>
  </si>
  <si>
    <t>PREDICTED: uncharacterized protein LOC108965389 [Bactrocera latifrons]</t>
  </si>
  <si>
    <t>DNA polymerase III PolC-type [Bactrocera oleae]</t>
  </si>
  <si>
    <t>Bactrocera oleae</t>
  </si>
  <si>
    <t>three-prime repair exonuclease 1-like [Bactrocera tryoni]</t>
  </si>
  <si>
    <t>Bactrocera tryoni</t>
  </si>
  <si>
    <t>uncharacterized protein LOC120768795 [Bactrocera tryoni]</t>
  </si>
  <si>
    <t>three-prime repair exonuclease 1 [Balaenoptera acutorostrata scammoni]</t>
  </si>
  <si>
    <t>Balaenoptera acutorostrata scammoni</t>
  </si>
  <si>
    <t>LOW QUALITY PROTEIN: three prime repair exonuclease 2 [Balaenoptera musculus]</t>
  </si>
  <si>
    <t>Balaenoptera musculus</t>
  </si>
  <si>
    <t>three-prime repair exonuclease 1 [Balaenoptera musculus]</t>
  </si>
  <si>
    <t>uncharacterized protein LOC117176237 [Belonocnema kinseyi]</t>
  </si>
  <si>
    <t>Belonocnema kinseyi</t>
  </si>
  <si>
    <t>PREDICTED: uncharacterized protein LOC109038063 [Bemisia tabaci]</t>
  </si>
  <si>
    <t>Bemisia tabaci</t>
  </si>
  <si>
    <t>three prime repair exonuclease 2-like [Bicyclus anynana]</t>
  </si>
  <si>
    <t>Bicyclus anynana</t>
  </si>
  <si>
    <t>uncharacterized protein LOC112043222 [Bicyclus anynana]</t>
  </si>
  <si>
    <t>PREDICTED: three-prime repair exonuclease 1-like [Biomphalaria glabrata]</t>
  </si>
  <si>
    <t>Biomphalaria glabrata</t>
  </si>
  <si>
    <t>PREDICTED: three-prime repair exonuclease 1 [Bison bison bison]</t>
  </si>
  <si>
    <t>Bison bison bison</t>
  </si>
  <si>
    <t>three-prime repair exonuclease 1 isoform X2 [Bombus bifarius]</t>
  </si>
  <si>
    <t>Bombus bifarius</t>
  </si>
  <si>
    <t>uncharacterized protein LOC117210080 isoform X1 [Bombus bifarius]</t>
  </si>
  <si>
    <t>three-prime repair exonuclease 1 isoform X2 [Bombus impatiens]</t>
  </si>
  <si>
    <t>Bombus impatiens</t>
  </si>
  <si>
    <t>uncharacterized protein LOC100743466 isoform X1 [Bombus impatiens]</t>
  </si>
  <si>
    <t>three-prime repair exonuclease 1 isoform X3 [Bombus pyrosoma]</t>
  </si>
  <si>
    <t>Bombus pyrosoma</t>
  </si>
  <si>
    <t>three-prime repair exonuclease 1 isoform X4 [Bombus pyrosoma]</t>
  </si>
  <si>
    <t>uncharacterized protein LOC122569615 isoform X1 [Bombus pyrosoma]</t>
  </si>
  <si>
    <t>uncharacterized protein LOC122569615 isoform X2 [Bombus pyrosoma]</t>
  </si>
  <si>
    <t>three prime repair exonuclease 2 isoform X2 [Bombus terrestris]</t>
  </si>
  <si>
    <t>Bombus terrestris</t>
  </si>
  <si>
    <t>uncharacterized protein LOC100642728 isoform X1 [Bombus terrestris]</t>
  </si>
  <si>
    <t>three-prime repair exonuclease 1 [Bombus vancouverensis nearcticus]</t>
  </si>
  <si>
    <t>Bombus vancouverensis nearcticus</t>
  </si>
  <si>
    <t>three-prime repair exonuclease 1 isoform X2 [Bombus vosnesenskii]</t>
  </si>
  <si>
    <t>Bombus vosnesenskii</t>
  </si>
  <si>
    <t>uncharacterized protein LOC117242088 isoform X1 [Bombus vosnesenskii]</t>
  </si>
  <si>
    <t>three prime repair exonuclease 2-like isoform X1 [Bombyx mandarina]</t>
  </si>
  <si>
    <t>Bombyx mandarina</t>
  </si>
  <si>
    <t>uncharacterized protein LOC114241067 [Bombyx mandarina]</t>
  </si>
  <si>
    <t>three prime repair exonuclease 2 isoform X1 [Bombyx mori]</t>
  </si>
  <si>
    <t>Bombyx mori</t>
  </si>
  <si>
    <t>uncharacterized protein LOC101738032 [Bombyx mori]</t>
  </si>
  <si>
    <t>PREDICTED: three-prime repair exonuclease 1 [Bos indicus]</t>
  </si>
  <si>
    <t>Bos indicus</t>
  </si>
  <si>
    <t>three prime repair exonuclease 2 [Bos indicus x Bos taurus]</t>
  </si>
  <si>
    <t>Bos indicus x Bos taurus</t>
  </si>
  <si>
    <t>PREDICTED: three prime repair exonuclease 2 [Bos mutus]</t>
  </si>
  <si>
    <t>Bos mutus</t>
  </si>
  <si>
    <t>PREDICTED: three-prime repair exonuclease 1 [Bos mutus]</t>
  </si>
  <si>
    <t>three prime repair exonuclease 2 [Bos taurus]</t>
  </si>
  <si>
    <t>Bos taurus</t>
  </si>
  <si>
    <t>three-prime repair exonuclease 1 [Bos taurus]</t>
  </si>
  <si>
    <t>uncharacterized protein LOC119070562 [Bradysia coprophila]</t>
  </si>
  <si>
    <t>Bradysia coprophila</t>
  </si>
  <si>
    <t>PREDICTED: three prime repair exonuclease 2-like [Branchiostoma belcheri]</t>
  </si>
  <si>
    <t>Branchiostoma belcheri</t>
  </si>
  <si>
    <t>PREDICTED: uncharacterized protein LOC109470945 [Branchiostoma belcheri]</t>
  </si>
  <si>
    <t>three prime repair exonuclease 2-like [Branchiostoma floridae]</t>
  </si>
  <si>
    <t>Branchiostoma floridae</t>
  </si>
  <si>
    <t>three-prime repair exonuclease 1-like [Branchiostoma floridae]</t>
  </si>
  <si>
    <t>three prime repair exonuclease 2 [Bubalus bubalis]</t>
  </si>
  <si>
    <t>Bubalus bubalis</t>
  </si>
  <si>
    <t>three-prime repair exonuclease 1 [Bubalus bubalis]</t>
  </si>
  <si>
    <t>three prime repair exonuclease 2 [Bufo bufo]</t>
  </si>
  <si>
    <t>Bufo bufo</t>
  </si>
  <si>
    <t>three prime repair exonuclease 2 [Bufo gargarizans]</t>
  </si>
  <si>
    <t>Bufo gargarizans</t>
  </si>
  <si>
    <t>three prime repair exonuclease 2 [Callithrix jacchus]</t>
  </si>
  <si>
    <t>Callithrix jacchus</t>
  </si>
  <si>
    <t>three-prime repair exonuclease 1 [Callithrix jacchus]</t>
  </si>
  <si>
    <t>three prime repair exonuclease 2 [Callorhinus ursinus]</t>
  </si>
  <si>
    <t>Callorhinus ursinus</t>
  </si>
  <si>
    <t>three-prime repair exonuclease 1 [Callorhinus ursinus]</t>
  </si>
  <si>
    <t>three prime repair exonuclease 2 [Camelus bactrianus]</t>
  </si>
  <si>
    <t>Camelus bactrianus</t>
  </si>
  <si>
    <t>three-prime repair exonuclease 1 isoform X2 [Camelus bactrianus]</t>
  </si>
  <si>
    <t>three prime repair exonuclease 2 [Camelus dromedarius]</t>
  </si>
  <si>
    <t>Camelus dromedarius</t>
  </si>
  <si>
    <t>three-prime repair exonuclease 1 isoform X1 [Camelus dromedarius]</t>
  </si>
  <si>
    <t>three-prime repair exonuclease 1 isoform X2 [Camelus dromedarius]</t>
  </si>
  <si>
    <t>three-prime repair exonuclease 1 isoform X1 [Camelus ferus]</t>
  </si>
  <si>
    <t>Camelus ferus</t>
  </si>
  <si>
    <t>uncharacterized protein LOC105253675 isoform X1 [Camponotus floridanus]</t>
  </si>
  <si>
    <t>Camponotus floridanus</t>
  </si>
  <si>
    <t>three prime repair exonuclease 2 [Canis lupus familiaris]</t>
  </si>
  <si>
    <t>Canis lupus familiaris</t>
  </si>
  <si>
    <t>three-prime repair exonuclease 1 isoform X1 [Canis lupus familiaris]</t>
  </si>
  <si>
    <t>three-prime repair exonuclease 1 isoform X2 [Canis lupus familiaris]</t>
  </si>
  <si>
    <t>PREDICTED: three-prime repair exonuclease 1 [Capra hircus]</t>
  </si>
  <si>
    <t>Capra hircus</t>
  </si>
  <si>
    <t>three prime repair exonuclease 2 [Caretta caretta]</t>
  </si>
  <si>
    <t>Caretta caretta</t>
  </si>
  <si>
    <t>LOW QUALITY PROTEIN: three-prime repair exonuclease 1 [Carlito syrichta]</t>
  </si>
  <si>
    <t>Carlito syrichta</t>
  </si>
  <si>
    <t>three prime repair exonuclease 2 [Carlito syrichta]</t>
  </si>
  <si>
    <t>three prime repair exonuclease 2 [Castor canadensis]</t>
  </si>
  <si>
    <t>Castor canadensis</t>
  </si>
  <si>
    <t>three-prime repair exonuclease 1 [Castor canadensis]</t>
  </si>
  <si>
    <t>ATR-interacting protein isoform X1 [Cavia porcellus]</t>
  </si>
  <si>
    <t>Cavia porcellus</t>
  </si>
  <si>
    <t>three prime repair exonuclease 2 [Cavia porcellus]</t>
  </si>
  <si>
    <t>three-prime repair exonuclease 1 isoform X3 [Cavia porcellus]</t>
  </si>
  <si>
    <t>three-prime repair exonuclease 1 [Cebus imitator]</t>
  </si>
  <si>
    <t>Cebus imitator</t>
  </si>
  <si>
    <t>three-prime repair exonuclease 1-like [Centruroides sculpturatus]</t>
  </si>
  <si>
    <t>Centruroides sculpturatus</t>
  </si>
  <si>
    <t>three-prime repair exonuclease 1-like isoform X1 [Centruroides sculpturatus]</t>
  </si>
  <si>
    <t>three-prime repair exonuclease 1-like isoform X2 [Centruroides sculpturatus]</t>
  </si>
  <si>
    <t>uncharacterized protein LOC107265719 [Cephus cinctus]</t>
  </si>
  <si>
    <t>Cephus cinctus</t>
  </si>
  <si>
    <t>three prime repair exonuclease 2 isoform X3 [Ceratina calcarata]</t>
  </si>
  <si>
    <t>Ceratina calcarata</t>
  </si>
  <si>
    <t>uncharacterized protein LOC108628085 isoform X1 [Ceratina calcarata]</t>
  </si>
  <si>
    <t>uncharacterized protein LOC108628085 isoform X2 [Ceratina calcarata]</t>
  </si>
  <si>
    <t>uncharacterized protein LOC101450867 [Ceratitis capitata]</t>
  </si>
  <si>
    <t>Ceratitis capitata</t>
  </si>
  <si>
    <t>PREDICTED: three prime repair exonuclease 2 [Ceratotherium simum simum]</t>
  </si>
  <si>
    <t>Ceratotherium simum simum</t>
  </si>
  <si>
    <t>PREDICTED: three-prime repair exonuclease 1 [Ceratotherium simum simum]</t>
  </si>
  <si>
    <t>PREDICTED: three prime repair exonuclease 2 isoform X1 [Cercocebus atys]</t>
  </si>
  <si>
    <t>Cercocebus atys</t>
  </si>
  <si>
    <t>PREDICTED: three prime repair exonuclease 2 isoform X2 [Cercocebus atys]</t>
  </si>
  <si>
    <t>PREDICTED: three prime repair exonuclease 2 isoform X3 [Cercocebus atys]</t>
  </si>
  <si>
    <t>PREDICTED: three-prime repair exonuclease 1 [Cercocebus atys]</t>
  </si>
  <si>
    <t>three prime repair exonuclease 2 [Cervus canadensis]</t>
  </si>
  <si>
    <t>Cervus canadensis</t>
  </si>
  <si>
    <t>three-prime repair exonuclease 1 [Cervus canadensis]</t>
  </si>
  <si>
    <t>LOW QUALITY PROTEIN: three-prime repair exonuclease 1 [Cervus elaphus]</t>
  </si>
  <si>
    <t>Cervus elaphus</t>
  </si>
  <si>
    <t>three prime repair exonuclease 2 [Cervus elaphus]</t>
  </si>
  <si>
    <t>three prime repair exonuclease 2 isoform X1 [Chelonia mydas]</t>
  </si>
  <si>
    <t>Chelonia mydas</t>
  </si>
  <si>
    <t>three prime repair exonuclease 2 isoform X2 [Chelonia mydas]</t>
  </si>
  <si>
    <t>three prime repair exonuclease 2 [Chelonoidis abingdonii]</t>
  </si>
  <si>
    <t>Chelonoidis abingdonii</t>
  </si>
  <si>
    <t>PREDICTED: three prime repair exonuclease 2 [Chinchilla lanigera]</t>
  </si>
  <si>
    <t>Chinchilla lanigera</t>
  </si>
  <si>
    <t>PREDICTED: three-prime repair exonuclease 1 [Chinchilla lanigera]</t>
  </si>
  <si>
    <t>three prime repair exonuclease 2 [Chlorocebus sabaeus]</t>
  </si>
  <si>
    <t>Chlorocebus sabaeus</t>
  </si>
  <si>
    <t>three-prime repair exonuclease 1 [Chlorocebus sabaeus]</t>
  </si>
  <si>
    <t>three prime repair exonuclease 2 [Choloepus didactylus]</t>
  </si>
  <si>
    <t>Choloepus didactylus</t>
  </si>
  <si>
    <t>three-prime repair exonuclease 1 [Choloepus didactylus]</t>
  </si>
  <si>
    <t>hypothetical protein CFDNVgORF119 [Choristoneura fumiferana DEF multiple nucleopolyhedrovirus]</t>
  </si>
  <si>
    <t>Choristoneura fumiferana DEF multiple nucleopolyhedrovirus</t>
  </si>
  <si>
    <t>unknown [Choristoneura fumiferana multiple nucleopolyhedrovirus]</t>
  </si>
  <si>
    <t>Choristoneura fumiferana multiple nucleopolyhedrovirus</t>
  </si>
  <si>
    <t>three prime repair exonuclease 2 [Chrysemys picta bellii]</t>
  </si>
  <si>
    <t>Chrysemys picta bellii</t>
  </si>
  <si>
    <t>PREDICTED: three prime repair exonuclease 1 [Chrysochloris asiatica]</t>
  </si>
  <si>
    <t>Chrysochloris asiatica</t>
  </si>
  <si>
    <t>PREDICTED: three prime repair exonuclease 2 [Chrysochloris asiatica]</t>
  </si>
  <si>
    <t>uncharacterized protein LOC123295380 [Chrysoperla carnea]</t>
  </si>
  <si>
    <t>Chrysoperla carnea</t>
  </si>
  <si>
    <t>uncharacterized protein LOC123295947 [Chrysoperla carnea]</t>
  </si>
  <si>
    <t>three-prime repair exonuclease 1 [Cimex lectularius]</t>
  </si>
  <si>
    <t>Cimex lectularius</t>
  </si>
  <si>
    <t>uncharacterized protein LOC104266336 [Ciona intestinalis]</t>
  </si>
  <si>
    <t>Ciona intestinalis</t>
  </si>
  <si>
    <t>uncharacterized protein LOC108949427 [Ciona intestinalis]</t>
  </si>
  <si>
    <t>uncharacterized protein LOC123316883 isoform X1 [Coccinella septempunctata]</t>
  </si>
  <si>
    <t>Coccinella septempunctata</t>
  </si>
  <si>
    <t>uncharacterized protein LOC123316883 isoform X2 [Coccinella septempunctata]</t>
  </si>
  <si>
    <t>three-prime repair exonuclease 1-like [Colias croceus]</t>
  </si>
  <si>
    <t>Colias croceus</t>
  </si>
  <si>
    <t>three-prime repair exonuclease 1-like isoform X1 [Colias croceus]</t>
  </si>
  <si>
    <t>three-prime repair exonuclease 1-like isoform X2 [Colias croceus]</t>
  </si>
  <si>
    <t>uncharacterized protein LOC122399850 [Colletes gigas]</t>
  </si>
  <si>
    <t>Colletes gigas</t>
  </si>
  <si>
    <t>PREDICTED: three prime repair exonuclease 2 [Colobus angolensis palliatus]</t>
  </si>
  <si>
    <t>Colobus angolensis palliatus</t>
  </si>
  <si>
    <t>PREDICTED: three-prime repair exonuclease 1 isoform X1 [Colobus angolensis palliatus]</t>
  </si>
  <si>
    <t>PREDICTED: three-prime repair exonuclease 1 isoform X2 [Colobus angolensis palliatus]</t>
  </si>
  <si>
    <t>PREDICTED: three-prime repair exonuclease 1 isoform X3 [Colobus angolensis palliatus]</t>
  </si>
  <si>
    <t>EXO III v-trex [Condylorrhiza vestigialis MNPV]</t>
  </si>
  <si>
    <t>Condylorrhiza vestigialis MNPV</t>
  </si>
  <si>
    <t>PREDICTED: three prime repair exonuclease 2 [Condylura cristata]</t>
  </si>
  <si>
    <t>Condylura cristata</t>
  </si>
  <si>
    <t>PREDICTED: three-prime repair exonuclease 1 [Condylura cristata]</t>
  </si>
  <si>
    <t>three prime repair exonuclease 2-like [Contarinia nasturtii]</t>
  </si>
  <si>
    <t>Contarinia nasturtii</t>
  </si>
  <si>
    <t>uncharacterized protein LOC106638677 [Copidosoma floridanum]</t>
  </si>
  <si>
    <t>Copidosoma floridanum</t>
  </si>
  <si>
    <t>three-prime repair exonuclease 1-like isoform X1 [Crassostrea gigas]</t>
  </si>
  <si>
    <t>Crassostrea gigas</t>
  </si>
  <si>
    <t>uncharacterized protein LOC105343831 [Crassostrea gigas]</t>
  </si>
  <si>
    <t>uncharacterized protein LOC111126298 [Crassostrea virginica]</t>
  </si>
  <si>
    <t>Crassostrea virginica</t>
  </si>
  <si>
    <t>three prime repair exonuclease 2 [Cricetulus griseus]</t>
  </si>
  <si>
    <t>Cricetulus griseus</t>
  </si>
  <si>
    <t>three-prime repair exonuclease 1 isoform X1 [Cricetulus griseus]</t>
  </si>
  <si>
    <t>three-prime repair exonuclease 1 isoform X2 [Cricetulus griseus]</t>
  </si>
  <si>
    <t>three prime repair exonuclease 2 [Crotalus tigris]</t>
  </si>
  <si>
    <t>Crotalus tigris</t>
  </si>
  <si>
    <t>uncharacterized protein LOC111874269 [Cryptotermes secundus]</t>
  </si>
  <si>
    <t>Cryptotermes secundus</t>
  </si>
  <si>
    <t>LOW QUALITY PROTEIN: three-prime repair exonuclease 1-like [Ctenocephalides felis]</t>
  </si>
  <si>
    <t>Ctenocephalides felis</t>
  </si>
  <si>
    <t>three-prime repair exonuclease 1-like [Ctenocephalides felis]</t>
  </si>
  <si>
    <t>three prime repair exonuclease 2 [Culex pipiens pallens]</t>
  </si>
  <si>
    <t>Culex pipiens pallens</t>
  </si>
  <si>
    <t>three-prime repair exonuclease 1-like [Culex pipiens pallens]</t>
  </si>
  <si>
    <t>LOW QUALITY PROTEIN: three prime repair exonuclease 2 [Culex quinquefasciatus]</t>
  </si>
  <si>
    <t>Culex quinquefasciatus</t>
  </si>
  <si>
    <t>three prime repair exonuclease 2-like [Culex quinquefasciatus]</t>
  </si>
  <si>
    <t>PREDICTED: uncharacterized protein LOC108782965 [Cyphomyrmex costatus]</t>
  </si>
  <si>
    <t>Cyphomyrmex costatus</t>
  </si>
  <si>
    <t>three-prime repair exonuclease 1-like [Danaus plexippus plexippus]</t>
  </si>
  <si>
    <t>Danaus plexippus plexippus</t>
  </si>
  <si>
    <t>uncharacterized protein LOC116775965 [Danaus plexippus plexippus]</t>
  </si>
  <si>
    <t>LOW QUALITY PROTEIN: three-prime repair exonuclease 1 [Daphnia magna]</t>
  </si>
  <si>
    <t>Daphnia magna</t>
  </si>
  <si>
    <t>three prime repair exonuclease 2 isoform X1 [Daphnia magna]</t>
  </si>
  <si>
    <t>three prime repair exonuclease 2 isoform X2 [Daphnia magna]</t>
  </si>
  <si>
    <t>three-prime repair exonuclease 1 [Daphnia magna]</t>
  </si>
  <si>
    <t>three-prime repair exonuclease 1-like [Daphnia magna]</t>
  </si>
  <si>
    <t>three prime repair exonuclease 2-like [Daphnia pulex]</t>
  </si>
  <si>
    <t>Daphnia pulex</t>
  </si>
  <si>
    <t>three-prime repair exonuclease 1-like [Daphnia pulex]</t>
  </si>
  <si>
    <t>three-prime repair exonuclease 1-like [Daphnia pulicaria]</t>
  </si>
  <si>
    <t>Daphnia pulicaria</t>
  </si>
  <si>
    <t>three prime repair exonuclease 2 [Dasypus novemcinctus]</t>
  </si>
  <si>
    <t>Dasypus novemcinctus</t>
  </si>
  <si>
    <t>three-prime repair exonuclease 1 [Dasypus novemcinctus]</t>
  </si>
  <si>
    <t>LOW QUALITY PROTEIN: three prime repair exonuclease 2 [Delphinapterus leucas]</t>
  </si>
  <si>
    <t>Delphinapterus leucas</t>
  </si>
  <si>
    <t>three-prime repair exonuclease 1 [Delphinapterus leucas]</t>
  </si>
  <si>
    <t>uncharacterized protein LOC109538902 [Dendroctonus ponderosae]</t>
  </si>
  <si>
    <t>Dendroctonus ponderosae</t>
  </si>
  <si>
    <t>three prime repair exonuclease 2-like [Dermacentor silvarum]</t>
  </si>
  <si>
    <t>Dermacentor silvarum</t>
  </si>
  <si>
    <t>three-prime repair exonuclease 1-like [Dermacentor silvarum]</t>
  </si>
  <si>
    <t>three-prime repair exonuclease 1-like isoform X1 [Dermacentor silvarum]</t>
  </si>
  <si>
    <t>three-prime repair exonuclease 1-like isoform X2 [Dermacentor silvarum]</t>
  </si>
  <si>
    <t>uncharacterized protein LOC119437149 [Dermacentor silvarum]</t>
  </si>
  <si>
    <t>three prime repair exonuclease 2 [Dermochelys coriacea]</t>
  </si>
  <si>
    <t>Dermochelys coriacea</t>
  </si>
  <si>
    <t>three prime repair exonuclease 2 [Desmodus rotundus]</t>
  </si>
  <si>
    <t>Desmodus rotundus</t>
  </si>
  <si>
    <t>three-prime repair exonuclease 1 [Desmodus rotundus]</t>
  </si>
  <si>
    <t>uncharacterized protein LOC114341455 [Diabrotica virgifera virgifera]</t>
  </si>
  <si>
    <t>Diabrotica virgifera virgifera</t>
  </si>
  <si>
    <t>exonuclease DPD1, chloroplastic/mitochondrial [Diaphorina citri]</t>
  </si>
  <si>
    <t>Diaphorina citri</t>
  </si>
  <si>
    <t>PREDICTED: three prime repair exonuclease 2 [Dipodomys ordii]</t>
  </si>
  <si>
    <t>Dipodomys ordii</t>
  </si>
  <si>
    <t>PREDICTED: three-prime repair exonuclease 1 [Dipodomys ordii]</t>
  </si>
  <si>
    <t>three prime repair exonuclease 2 [Dipodomys spectabilis]</t>
  </si>
  <si>
    <t>Dipodomys spectabilis</t>
  </si>
  <si>
    <t>three-prime repair exonuclease 1 [Dipodomys spectabilis]</t>
  </si>
  <si>
    <t>three prime repair exonuclease 2 [Diprion similis]</t>
  </si>
  <si>
    <t>Diprion similis</t>
  </si>
  <si>
    <t>three prime repair exonuclease 2 [Dromiciops gliroides]</t>
  </si>
  <si>
    <t>Dromiciops gliroides</t>
  </si>
  <si>
    <t>three-prime repair exonuclease 1 [Dromiciops gliroides]</t>
  </si>
  <si>
    <t>uncharacterized protein LOC6497809 [Drosophila ananassae]</t>
  </si>
  <si>
    <t>Drosophila ananassae</t>
  </si>
  <si>
    <t>PREDICTED: uncharacterized protein LOC108610786 [Drosophila arizonae]</t>
  </si>
  <si>
    <t>Drosophila arizonae</t>
  </si>
  <si>
    <t>uncharacterized protein LOC108027763 [Drosophila biarmipes]</t>
  </si>
  <si>
    <t>Drosophila biarmipes</t>
  </si>
  <si>
    <t>uncharacterized protein LOC108125531 [Drosophila bipectinata]</t>
  </si>
  <si>
    <t>Drosophila bipectinata</t>
  </si>
  <si>
    <t>uncharacterized protein LOC108139054 [Drosophila elegans]</t>
  </si>
  <si>
    <t>Drosophila elegans</t>
  </si>
  <si>
    <t>uncharacterized protein LOC6541864 [Drosophila erecta]</t>
  </si>
  <si>
    <t>Drosophila erecta</t>
  </si>
  <si>
    <t>uncharacterized protein LOC108111183 isoform X1 [Drosophila eugracilis]</t>
  </si>
  <si>
    <t>Drosophila eugracilis</t>
  </si>
  <si>
    <t>uncharacterized protein LOC108111183 isoform X2 [Drosophila eugracilis]</t>
  </si>
  <si>
    <t>uncharacterized protein LOC108092459 [Drosophila ficusphila]</t>
  </si>
  <si>
    <t>Drosophila ficusphila</t>
  </si>
  <si>
    <t>three-prime repair exonuclease 1 [Drosophila grimshawi]</t>
  </si>
  <si>
    <t>Drosophila grimshawi</t>
  </si>
  <si>
    <t>three-prime repair exonuclease 1 [Drosophila guanche]</t>
  </si>
  <si>
    <t>Drosophila guanche</t>
  </si>
  <si>
    <t>uncharacterized protein LOC111603965 [Drosophila hydei]</t>
  </si>
  <si>
    <t>Drosophila hydei</t>
  </si>
  <si>
    <t>uncharacterized protein LOC117780483 [Drosophila innubila]</t>
  </si>
  <si>
    <t>Drosophila innubila</t>
  </si>
  <si>
    <t>uncharacterized protein LOC117781265 [Drosophila innubila]</t>
  </si>
  <si>
    <t>uncharacterized protein LOC108075857 [Drosophila kikkawai]</t>
  </si>
  <si>
    <t>Drosophila kikkawai</t>
  </si>
  <si>
    <t>uncharacterized protein LOC117136399 [Drosophila mauritiana]</t>
  </si>
  <si>
    <t>Drosophila mauritiana</t>
  </si>
  <si>
    <t>uncharacterized protein Dmel_CG3165, isoform B [Drosophila melanogaster]</t>
  </si>
  <si>
    <t>Drosophila melanogaster</t>
  </si>
  <si>
    <t>three-prime repair exonuclease 1 [Drosophila miranda]</t>
  </si>
  <si>
    <t>Drosophila miranda</t>
  </si>
  <si>
    <t>uncharacterized protein LOC6576864 isoform X1 [Drosophila mojavensis]</t>
  </si>
  <si>
    <t>Drosophila mojavensis</t>
  </si>
  <si>
    <t>uncharacterized protein LOC6576864 isoform X2 [Drosophila mojavensis]</t>
  </si>
  <si>
    <t>uncharacterized protein LOC115563060 [Drosophila navojoa]</t>
  </si>
  <si>
    <t>Drosophila navojoa</t>
  </si>
  <si>
    <t>uncharacterized protein LOC115763387 [Drosophila novamexicana]</t>
  </si>
  <si>
    <t>Drosophila novamexicana</t>
  </si>
  <si>
    <t>three-prime repair exonuclease 1 [Drosophila obscura]</t>
  </si>
  <si>
    <t>Drosophila obscura</t>
  </si>
  <si>
    <t>uncharacterized protein LOC6596284 [Drosophila persimilis]</t>
  </si>
  <si>
    <t>Drosophila persimilis</t>
  </si>
  <si>
    <t>uncharacterized protein LOC4816453 [Drosophila pseudoobscura]</t>
  </si>
  <si>
    <t>Drosophila pseudoobscura</t>
  </si>
  <si>
    <t>uncharacterized protein LOC108050479 [Drosophila rhopaloa]</t>
  </si>
  <si>
    <t>Drosophila rhopaloa</t>
  </si>
  <si>
    <t>uncharacterized protein LOC120458023 [Drosophila santomea]</t>
  </si>
  <si>
    <t>Drosophila santomea</t>
  </si>
  <si>
    <t>uncharacterized protein LOC6613180 [Drosophila sechellia]</t>
  </si>
  <si>
    <t>Drosophila sechellia</t>
  </si>
  <si>
    <t>uncharacterized protein LOC110186109 [Drosophila serrata]</t>
  </si>
  <si>
    <t>Drosophila serrata</t>
  </si>
  <si>
    <t>uncharacterized protein LOC6730799 [Drosophila simulans]</t>
  </si>
  <si>
    <t>Drosophila simulans</t>
  </si>
  <si>
    <t>three-prime repair exonuclease 1 [Drosophila subobscura]</t>
  </si>
  <si>
    <t>Drosophila subobscura</t>
  </si>
  <si>
    <t>uncharacterized protein LOC119546363 [Drosophila subpulchrella]</t>
  </si>
  <si>
    <t>Drosophila subpulchrella</t>
  </si>
  <si>
    <t>uncharacterized protein LOC108017683 [Drosophila suzukii]</t>
  </si>
  <si>
    <t>Drosophila suzukii</t>
  </si>
  <si>
    <t>uncharacterized protein LOC108062000 [Drosophila takahashii]</t>
  </si>
  <si>
    <t>Drosophila takahashii</t>
  </si>
  <si>
    <t>uncharacterized protein LOC122619533 [Drosophila teissieri]</t>
  </si>
  <si>
    <t>Drosophila teissieri</t>
  </si>
  <si>
    <t>uncharacterized protein LOC6634104 [Drosophila virilis]</t>
  </si>
  <si>
    <t>Drosophila virilis</t>
  </si>
  <si>
    <t>uncharacterized protein LOC6644082 [Drosophila willistoni]</t>
  </si>
  <si>
    <t>Drosophila willistoni</t>
  </si>
  <si>
    <t>uncharacterized protein LOC6526651 [Drosophila yakuba]</t>
  </si>
  <si>
    <t>Drosophila yakuba</t>
  </si>
  <si>
    <t>PREDICTED: uncharacterized protein LOC107190834 [Dufourea novaeangliae]</t>
  </si>
  <si>
    <t>Dufourea novaeangliae</t>
  </si>
  <si>
    <t>Three prime repair exonuclease [Echinococcus granulosus]</t>
  </si>
  <si>
    <t>Echinococcus granulosus</t>
  </si>
  <si>
    <t>three prime repair exonuclease 2 isoform X1 [Echinops telfairi]</t>
  </si>
  <si>
    <t>Echinops telfairi</t>
  </si>
  <si>
    <t>three prime repair exonuclease 2 isoform X2 [Echinops telfairi]</t>
  </si>
  <si>
    <t>three-prime repair exonuclease 1 [Echinops telfairi]</t>
  </si>
  <si>
    <t>PREDICTED: three prime repair exonuclease 1 [Elephantulus edwardii]</t>
  </si>
  <si>
    <t>Elephantulus edwardii</t>
  </si>
  <si>
    <t>PREDICTED: three prime repair exonuclease 2 [Elephantulus edwardii]</t>
  </si>
  <si>
    <t>three prime repair exonuclease 2 [Enhydra lutris kenyoni]</t>
  </si>
  <si>
    <t>Enhydra lutris kenyoni</t>
  </si>
  <si>
    <t>three-prime repair exonuclease 1 [Enhydra lutris kenyoni]</t>
  </si>
  <si>
    <t>three prime repair exonuclease 2 [Eptesicus fuscus]</t>
  </si>
  <si>
    <t>Eptesicus fuscus</t>
  </si>
  <si>
    <t>three-prime repair exonuclease 1 [Eptesicus fuscus]</t>
  </si>
  <si>
    <t>three prime repair exonuclease 2 [Equus asinus]</t>
  </si>
  <si>
    <t>Equus asinus</t>
  </si>
  <si>
    <t>three-prime repair exonuclease 1 [Equus asinus]</t>
  </si>
  <si>
    <t>three prime repair exonuclease 2 [Equus caballus]</t>
  </si>
  <si>
    <t>Equus caballus</t>
  </si>
  <si>
    <t>three-prime repair exonuclease 1 [Equus caballus]</t>
  </si>
  <si>
    <t>PREDICTED: three prime repair exonuclease 2 [Equus przewalskii]</t>
  </si>
  <si>
    <t>Equus przewalskii</t>
  </si>
  <si>
    <t>three prime repair exonuclease 2 [Equus quagga]</t>
  </si>
  <si>
    <t>Equus quagga</t>
  </si>
  <si>
    <t>three-prime repair exonuclease 1 [Equus quagga]</t>
  </si>
  <si>
    <t>PREDICTED: three prime repair exonuclease 2 [Erinaceus europaeus]</t>
  </si>
  <si>
    <t>Erinaceus europaeus</t>
  </si>
  <si>
    <t>PREDICTED: three-prime repair exonuclease 1 [Erinaceus europaeus]</t>
  </si>
  <si>
    <t>three prime repair exonuclease 2-like [Erpetoichthys calabaricus]</t>
  </si>
  <si>
    <t>Erpetoichthys calabaricus</t>
  </si>
  <si>
    <t>PREDICTED: uncharacterized protein LOC108553377 [Eufriesea mexicana]</t>
  </si>
  <si>
    <t>Eufriesea mexicana</t>
  </si>
  <si>
    <t>three prime repair exonuclease 2 [Eumetopias jubatus]</t>
  </si>
  <si>
    <t>Eumetopias jubatus</t>
  </si>
  <si>
    <t>three-prime repair exonuclease 1 [Eumetopias jubatus]</t>
  </si>
  <si>
    <t>uncharacterized protein LOC111701651 [Eurytemora affinis]</t>
  </si>
  <si>
    <t>Eurytemora affinis</t>
  </si>
  <si>
    <t>three prime repair exonuclease 2 [Exaiptasia diaphana]</t>
  </si>
  <si>
    <t>Exaiptasia diaphana</t>
  </si>
  <si>
    <t>three prime repair exonuclease 2 [Felis catus]</t>
  </si>
  <si>
    <t>Felis catus</t>
  </si>
  <si>
    <t>three-prime repair exonuclease 1 [Felis catus]</t>
  </si>
  <si>
    <t>uncharacterized protein LOC115234777 [Formica exsecta]</t>
  </si>
  <si>
    <t>Formica exsecta</t>
  </si>
  <si>
    <t>uncharacterized protein LOC115234807 isoform X1 [Formica exsecta]</t>
  </si>
  <si>
    <t>uncharacterized protein LOC115240870 isoform X1 [Formica exsecta]</t>
  </si>
  <si>
    <t>uncharacterized protein LOC113203556 [Frankliniella occidentalis]</t>
  </si>
  <si>
    <t>Frankliniella occidentalis</t>
  </si>
  <si>
    <t>uncharacterized protein LOC122533481 [Frieseomelitta varia]</t>
  </si>
  <si>
    <t>Frieseomelitta varia</t>
  </si>
  <si>
    <t>three prime repair exonuclease 2 [Fukomys damarensis]</t>
  </si>
  <si>
    <t>Fukomys damarensis</t>
  </si>
  <si>
    <t>three-prime repair exonuclease 1 isoform X1 [Fukomys damarensis]</t>
  </si>
  <si>
    <t>three-prime repair exonuclease 1 isoform X2 [Fukomys damarensis]</t>
  </si>
  <si>
    <t>uncharacterized protein LOC100906512 [Galendromus occidentalis]</t>
  </si>
  <si>
    <t>Galendromus occidentalis</t>
  </si>
  <si>
    <t>PREDICTED: three prime repair exonuclease 2 [Galeopterus variegatus]</t>
  </si>
  <si>
    <t>Galeopterus variegatus</t>
  </si>
  <si>
    <t>PREDICTED: three-prime repair exonuclease 1-like [Galeopterus variegatus]</t>
  </si>
  <si>
    <t>PREDICTED: three-prime repair exonuclease 1-like isoform X1 [Galeopterus variegatus]</t>
  </si>
  <si>
    <t>three prime repair exonuclease 2-like [Galleria mellonella]</t>
  </si>
  <si>
    <t>Galleria mellonella</t>
  </si>
  <si>
    <t>three-prime repair exonuclease 1-like [Galleria mellonella]</t>
  </si>
  <si>
    <t>uncharacterized protein LOC113511313 [Galleria mellonella]</t>
  </si>
  <si>
    <t>PREDICTED: three prime repair exonuclease 2 [Gekko japonicus]</t>
  </si>
  <si>
    <t>Gekko japonicus</t>
  </si>
  <si>
    <t>PREDICTED: three-prime repair exonuclease 1 [Gekko japonicus]</t>
  </si>
  <si>
    <t>three prime repair exonuclease 2 [Geotrypetes seraphini]</t>
  </si>
  <si>
    <t>Geotrypetes seraphini</t>
  </si>
  <si>
    <t>three prime repair exonuclease 2-like [Geotrypetes seraphini]</t>
  </si>
  <si>
    <t>three-prime repair exonuclease 1-like [Gigantopelta aegis]</t>
  </si>
  <si>
    <t>Gigantopelta aegis</t>
  </si>
  <si>
    <t>uncharacterized protein LOC121384721 [Gigantopelta aegis]</t>
  </si>
  <si>
    <t>LOW QUALITY PROTEIN: three prime repair exonuclease 2 [Globicephala melas]</t>
  </si>
  <si>
    <t>Globicephala melas</t>
  </si>
  <si>
    <t>three-prime repair exonuclease 1 isoform X1 [Glossina fuscipes]</t>
  </si>
  <si>
    <t>Glossina fuscipes</t>
  </si>
  <si>
    <t>three-prime repair exonuclease 1 isoform X2 [Glossina fuscipes]</t>
  </si>
  <si>
    <t>three prime repair exonuclease 2 [Gopherus evgoodei]</t>
  </si>
  <si>
    <t>Gopherus evgoodei</t>
  </si>
  <si>
    <t>three prime repair exonuclease 2 [Gorilla gorilla gorilla]</t>
  </si>
  <si>
    <t>Gorilla gorilla gorilla</t>
  </si>
  <si>
    <t>three-prime repair exonuclease 1 [Gorilla gorilla gorilla]</t>
  </si>
  <si>
    <t>three prime repair exonuclease 2 [Gracilinanus agilis]</t>
  </si>
  <si>
    <t>Gracilinanus agilis</t>
  </si>
  <si>
    <t>three-prime repair exonuclease 1 [Gracilinanus agilis]</t>
  </si>
  <si>
    <t>three prime repair exonuclease 2 isoform X1 [Grammomys surdaster]</t>
  </si>
  <si>
    <t>Grammomys surdaster</t>
  </si>
  <si>
    <t>three prime repair exonuclease 2 isoform X2 [Grammomys surdaster]</t>
  </si>
  <si>
    <t>three-prime repair exonuclease 1 [Grammomys surdaster]</t>
  </si>
  <si>
    <t>PREDICTED: uncharacterized protein LOC108570482 [Habropoda laboriosa]</t>
  </si>
  <si>
    <t>Habropoda laboriosa</t>
  </si>
  <si>
    <t>three prime repair exonuclease 2 [Halichoerus grypus]</t>
  </si>
  <si>
    <t>Halichoerus grypus</t>
  </si>
  <si>
    <t>three-prime repair exonuclease 1 isoform X1 [Halichoerus grypus]</t>
  </si>
  <si>
    <t>three-prime repair exonuclease 1 isoform X2 [Halichoerus grypus]</t>
  </si>
  <si>
    <t>LOW QUALITY PROTEIN: three-prime repair exonuclease 1-like [Haliotis rubra]</t>
  </si>
  <si>
    <t>Haliotis rubra</t>
  </si>
  <si>
    <t>three-prime repair exonuclease 1-like [Haliotis rubra]</t>
  </si>
  <si>
    <t>uncharacterized protein LOC124289244 [Haliotis rubra]</t>
  </si>
  <si>
    <t>serine-rich adhesin for platelets-like [Haliotis rufescens]</t>
  </si>
  <si>
    <t>Haliotis rufescens</t>
  </si>
  <si>
    <t>three-prime repair exonuclease 1-like [Haliotis rufescens]</t>
  </si>
  <si>
    <t>three-prime repair exonuclease 1-like isoform X1 [Haliotis rufescens]</t>
  </si>
  <si>
    <t>three-prime repair exonuclease 1-like isoform X2 [Haliotis rufescens]</t>
  </si>
  <si>
    <t>uncharacterized protein LOC106677796 [Halyomorpha halys]</t>
  </si>
  <si>
    <t>Halyomorpha halys</t>
  </si>
  <si>
    <t>three prime repair exonuclease 2-like [Harmonia axyridis]</t>
  </si>
  <si>
    <t>Harmonia axyridis</t>
  </si>
  <si>
    <t>three-prime repair exonuclease 1-like [Harmonia axyridis]</t>
  </si>
  <si>
    <t>uncharacterized protein LOC123672855 [Harmonia axyridis]</t>
  </si>
  <si>
    <t>three-prime repair exonuclease 1-like [Helicoverpa armigera]</t>
  </si>
  <si>
    <t>Helicoverpa armigera</t>
  </si>
  <si>
    <t>uncharacterized protein LOC110371475 [Helicoverpa armigera]</t>
  </si>
  <si>
    <t>uncharacterized protein LOC110374934 [Helicoverpa armigera]</t>
  </si>
  <si>
    <t>uncharacterized protein LOC110378395 [Helicoverpa armigera]</t>
  </si>
  <si>
    <t>three prime repair exonuclease 2-like [Helicoverpa zea]</t>
  </si>
  <si>
    <t>Helicoverpa zea</t>
  </si>
  <si>
    <t>three prime repair exonuclease 2-like isoform X2 [Helicoverpa zea]</t>
  </si>
  <si>
    <t>uncharacterized protein LOC124641353 [Helicoverpa zea]</t>
  </si>
  <si>
    <t>uncharacterized protein LOC124642923 [Helicoverpa zea]</t>
  </si>
  <si>
    <t>hypothetical protein HELRODRAFT_189337 [Helobdella robusta]</t>
  </si>
  <si>
    <t>Helobdella robusta</t>
  </si>
  <si>
    <t>three prime repair exonuclease 2-like [Hermetia illucens]</t>
  </si>
  <si>
    <t>Hermetia illucens</t>
  </si>
  <si>
    <t>uncharacterized protein LOC119649909 [Hermetia illucens]</t>
  </si>
  <si>
    <t>uncharacterized protein LOC119650007 isoform X1 [Hermetia illucens]</t>
  </si>
  <si>
    <t>uncharacterized protein LOC119650007 isoform X2 [Hermetia illucens]</t>
  </si>
  <si>
    <t>three prime repair exonuclease 2 [Heterocephalus glaber]</t>
  </si>
  <si>
    <t>Heterocephalus glaber</t>
  </si>
  <si>
    <t>three-prime repair exonuclease 1 [Heterocephalus glaber]</t>
  </si>
  <si>
    <t>PREDICTED: three prime repair exonuclease 2 [Hipposideros armiger]</t>
  </si>
  <si>
    <t>Hipposideros armiger</t>
  </si>
  <si>
    <t>PREDICTED: three-prime repair exonuclease 1 isoform X1 [Hipposideros armiger]</t>
  </si>
  <si>
    <t>PREDICTED: three-prime repair exonuclease 1 isoform X2 [Hipposideros armiger]</t>
  </si>
  <si>
    <t>uncharacterized protein LOC121862338 [Homarus americanus]</t>
  </si>
  <si>
    <t>Homarus americanus</t>
  </si>
  <si>
    <t>three prime repair exonuclease 2 [Homo sapiens]</t>
  </si>
  <si>
    <t>Homo sapiens</t>
  </si>
  <si>
    <t>Human TREX2</t>
  </si>
  <si>
    <t>AAH23630.1</t>
  </si>
  <si>
    <t>Three prime repair exonuclease 1 [Homo sapiens]</t>
  </si>
  <si>
    <t>Human TREX1 a isoform, added from NCBI GenPept</t>
  </si>
  <si>
    <t>three-prime repair exonuclease 1 isoform b [Homo sapiens]</t>
  </si>
  <si>
    <t>Human TREX1b isoform</t>
  </si>
  <si>
    <t>three-prime repair exonuclease 1 isoform c [Homo sapiens]</t>
  </si>
  <si>
    <t>Human TREX1c isoform</t>
  </si>
  <si>
    <t>three prime repair exonuclease 2 isoform X3 [Hyaena hyaena]</t>
  </si>
  <si>
    <t>Hyaena hyaena</t>
  </si>
  <si>
    <t>three-prime repair exonuclease 1 [Hyaena hyaena]</t>
  </si>
  <si>
    <t>uncharacterized protein LOC120221729 isoform X1 [Hyaena hyaena]</t>
  </si>
  <si>
    <t>uncharacterized protein LOC108674970 [Hyalella azteca]</t>
  </si>
  <si>
    <t>Hyalella azteca</t>
  </si>
  <si>
    <t>three prime repair exonuclease 2 isoform X1 [Hylobates moloch]</t>
  </si>
  <si>
    <t>Hylobates moloch</t>
  </si>
  <si>
    <t>three prime repair exonuclease 2 isoform X2 [Hylobates moloch]</t>
  </si>
  <si>
    <t>three-prime repair exonuclease 1 [Hylobates moloch]</t>
  </si>
  <si>
    <t>uncharacterized protein LOC113229001 [Hyposmocoma kahamanoa]</t>
  </si>
  <si>
    <t>Hyposmocoma kahamanoa</t>
  </si>
  <si>
    <t>uncharacterized protein LOC113229045 [Hyposmocoma kahamanoa]</t>
  </si>
  <si>
    <t>three prime repair exonuclease 2 [Ictidomys tridecemlineatus]</t>
  </si>
  <si>
    <t>Ictidomys tridecemlineatus</t>
  </si>
  <si>
    <t>three-prime repair exonuclease 1 isoform X1 [Ictidomys tridecemlineatus]</t>
  </si>
  <si>
    <t>three-prime repair exonuclease 1 isoform X2 [Ictidomys tridecemlineatus]</t>
  </si>
  <si>
    <t>uncharacterized protein LOC124158976 [Ischnura elegans]</t>
  </si>
  <si>
    <t>Ischnura elegans</t>
  </si>
  <si>
    <t>three-prime repair exonuclease 1 [Ixodes scapularis]</t>
  </si>
  <si>
    <t>Ixodes scapularis</t>
  </si>
  <si>
    <t>three-prime repair exonuclease 1-like isoform X1 [Ixodes scapularis]</t>
  </si>
  <si>
    <t>uncharacterized protein LOC8036074 isoform X2 [Ixodes scapularis]</t>
  </si>
  <si>
    <t>uncharacterized protein LOC8036074 isoform X3 [Ixodes scapularis]</t>
  </si>
  <si>
    <t>three prime repair exonuclease 2 [Jaculus jaculus]</t>
  </si>
  <si>
    <t>Jaculus jaculus</t>
  </si>
  <si>
    <t>three-prime repair exonuclease 1 [Jaculus jaculus]</t>
  </si>
  <si>
    <t>three prime repair exonuclease 2 [Lacerta agilis]</t>
  </si>
  <si>
    <t>Lacerta agilis</t>
  </si>
  <si>
    <t>three-prime repair exonuclease 1-like [Lacerta agilis]</t>
  </si>
  <si>
    <t>LOW QUALITY PROTEIN: three prime repair exonuclease 2 [Lagenorhynchus obliquidens]</t>
  </si>
  <si>
    <t>Lagenorhynchus obliquidens</t>
  </si>
  <si>
    <t>three-prime repair exonuclease 1 [Lagenorhynchus obliquidens]</t>
  </si>
  <si>
    <t>PREDICTED: three prime repair exonuclease 2 [Latimeria chalumnae]</t>
  </si>
  <si>
    <t>Latimeria chalumnae</t>
  </si>
  <si>
    <t>exonuclease DPD1, chloroplastic/mitochondrial-like [Leguminivora glycinivorella]</t>
  </si>
  <si>
    <t>Leguminivora glycinivorella</t>
  </si>
  <si>
    <t>three-prime repair exonuclease 1-like [Leguminivora glycinivorella]</t>
  </si>
  <si>
    <t>three prime repair exonuclease 2 [Lemur catta]</t>
  </si>
  <si>
    <t>Lemur catta</t>
  </si>
  <si>
    <t>three-prime repair exonuclease 1 [Lemur catta]</t>
  </si>
  <si>
    <t>three-prime repair exonuclease 1 [Leopardus geoffroyi]</t>
  </si>
  <si>
    <t>Leopardus geoffroyi</t>
  </si>
  <si>
    <t>PREDICTED: three prime repair exonuclease 2-like [Lepisosteus oculatus]</t>
  </si>
  <si>
    <t>Lepisosteus oculatus</t>
  </si>
  <si>
    <t>three prime repair exonuclease 2-like [Leptinotarsa decemlineata]</t>
  </si>
  <si>
    <t>Leptinotarsa decemlineata</t>
  </si>
  <si>
    <t>three-prime repair exonuclease 1-like [Leptinotarsa decemlineata]</t>
  </si>
  <si>
    <t>three prime repair exonuclease 2 [Leptonychotes weddellii]</t>
  </si>
  <si>
    <t>Leptonychotes weddellii</t>
  </si>
  <si>
    <t>three-prime repair exonuclease 1 [Leptonychotes weddellii]</t>
  </si>
  <si>
    <t>uncharacterized protein LOC106457189 [Limulus polyphemus]</t>
  </si>
  <si>
    <t>Limulus polyphemus</t>
  </si>
  <si>
    <t>PREDICTED: uncharacterized protein LOC105672195 [Linepithema humile]</t>
  </si>
  <si>
    <t>Linepithema humile</t>
  </si>
  <si>
    <t>uncharacterized protein LOC106175307 isoform X1 [Lingula anatina]</t>
  </si>
  <si>
    <t>Lingula anatina</t>
  </si>
  <si>
    <t>uncharacterized protein LOC106175307 isoform X2 [Lingula anatina]</t>
  </si>
  <si>
    <t>PREDICTED: LOW QUALITY PROTEIN: three prime repair exonuclease 1 [Lipotes vexillifer]</t>
  </si>
  <si>
    <t>Lipotes vexillifer</t>
  </si>
  <si>
    <t>PREDICTED: three prime repair exonuclease 2 [Lipotes vexillifer]</t>
  </si>
  <si>
    <t>three prime repair exonuclease 2 [Lontra canadensis]</t>
  </si>
  <si>
    <t>Lontra canadensis</t>
  </si>
  <si>
    <t>three-prime repair exonuclease 1 [Lontra canadensis]</t>
  </si>
  <si>
    <t>hypothetical protein LOTGIDRAFT_227290 [Lottia gigantea]</t>
  </si>
  <si>
    <t>Lottia gigantea</t>
  </si>
  <si>
    <t>three prime repair exonuclease 2 [Loxodonta africana]</t>
  </si>
  <si>
    <t>Loxodonta africana</t>
  </si>
  <si>
    <t>three-prime repair exonuclease 1 [Loxodonta africana]</t>
  </si>
  <si>
    <t>uncharacterized protein LOC111687289 [Lucilia cuprina]</t>
  </si>
  <si>
    <t>Lucilia cuprina</t>
  </si>
  <si>
    <t>uncharacterized protein LOC119602318 [Lucilia sericata]</t>
  </si>
  <si>
    <t>Lucilia sericata</t>
  </si>
  <si>
    <t>three prime repair exonuclease 2 [Lutra lutra]</t>
  </si>
  <si>
    <t>Lutra lutra</t>
  </si>
  <si>
    <t>three-prime repair exonuclease 1-like [Lutra lutra]</t>
  </si>
  <si>
    <t>three-prime repair exonuclease 1 [Lynx canadensis]</t>
  </si>
  <si>
    <t>Lynx canadensis</t>
  </si>
  <si>
    <t>three prime repair exonuclease 2 [Lynx rufus]</t>
  </si>
  <si>
    <t>Lynx rufus</t>
  </si>
  <si>
    <t>three prime repair exonuclease 2-like [Lytechinus variegatus]</t>
  </si>
  <si>
    <t>Lytechinus variegatus</t>
  </si>
  <si>
    <t>uncharacterized protein LOC121428942 [Lytechinus variegatus]</t>
  </si>
  <si>
    <t>three prime repair exonuclease 2 [Macaca fascicularis]</t>
  </si>
  <si>
    <t>Macaca fascicularis</t>
  </si>
  <si>
    <t>three-prime repair exonuclease 1 [Macaca fascicularis]</t>
  </si>
  <si>
    <t>three-prime repair exonuclease 1 [Macaca mulatta]</t>
  </si>
  <si>
    <t>Macaca mulatta</t>
  </si>
  <si>
    <t>three prime repair exonuclease 2 isoform X1 [Macaca nemestrina]</t>
  </si>
  <si>
    <t>Macaca nemestrina</t>
  </si>
  <si>
    <t>three prime repair exonuclease 2 isoform X2 [Macaca nemestrina]</t>
  </si>
  <si>
    <t>three-prime repair exonuclease 1 [Macaca nemestrina]</t>
  </si>
  <si>
    <t>PREDICTED: three prime repair exonuclease 2 [Mandrillus leucophaeus]</t>
  </si>
  <si>
    <t>Mandrillus leucophaeus</t>
  </si>
  <si>
    <t>PREDICTED: three-prime repair exonuclease 1 isoform X1 [Mandrillus leucophaeus]</t>
  </si>
  <si>
    <t>PREDICTED: three-prime repair exonuclease 1 isoform X2 [Mandrillus leucophaeus]</t>
  </si>
  <si>
    <t>three prime repair exonuclease 2-like [Manduca sexta]</t>
  </si>
  <si>
    <t>Manduca sexta</t>
  </si>
  <si>
    <t>uncharacterized protein LOC115454026 [Manduca sexta]</t>
  </si>
  <si>
    <t>LOW QUALITY PROTEIN: three prime repair exonuclease 2-like [Maniola hyperantus]</t>
  </si>
  <si>
    <t>Maniola hyperantus</t>
  </si>
  <si>
    <t>three-prime repair exonuclease 1-like [Maniola hyperantus]</t>
  </si>
  <si>
    <t>three prime repair exonuclease 2-like [Maniola jurtina]</t>
  </si>
  <si>
    <t>Maniola jurtina</t>
  </si>
  <si>
    <t>uncharacterized protein LOC123865354 [Maniola jurtina]</t>
  </si>
  <si>
    <t>three prime repair exonuclease 2 isoform X1 [Manis javanica]</t>
  </si>
  <si>
    <t>Manis javanica</t>
  </si>
  <si>
    <t>three prime repair exonuclease 2 isoform X2 [Manis javanica]</t>
  </si>
  <si>
    <t>three-prime repair exonuclease 1 isoform X1 [Manis javanica]</t>
  </si>
  <si>
    <t>three-prime repair exonuclease 1 isoform X2 [Manis javanica]</t>
  </si>
  <si>
    <t>three prime repair exonuclease 2 [Manis pentadactyla]</t>
  </si>
  <si>
    <t>Manis pentadactyla</t>
  </si>
  <si>
    <t>three-prime repair exonuclease 1 isoform X1 [Manis pentadactyla]</t>
  </si>
  <si>
    <t>three-prime repair exonuclease 1 isoform X2 [Manis pentadactyla]</t>
  </si>
  <si>
    <t>three-prime repair exonuclease 1 isoform X4 [Manis pentadactyla]</t>
  </si>
  <si>
    <t>three prime repair exonuclease 2 [Marmota flaviventris]</t>
  </si>
  <si>
    <t>Marmota flaviventris</t>
  </si>
  <si>
    <t>three-prime repair exonuclease 1 [Marmota flaviventris]</t>
  </si>
  <si>
    <t>three prime repair exonuclease 2 [Marmota marmota marmota]</t>
  </si>
  <si>
    <t>Marmota marmota marmota</t>
  </si>
  <si>
    <t>three-prime repair exonuclease 1 [Marmota marmota marmota]</t>
  </si>
  <si>
    <t>three prime repair exonuclease 2 [Marmota monax]</t>
  </si>
  <si>
    <t>Marmota monax</t>
  </si>
  <si>
    <t>three-prime repair exonuclease 1 [Marmota monax]</t>
  </si>
  <si>
    <t>three prime repair exonuclease 2 [Mastomys coucha]</t>
  </si>
  <si>
    <t>Mastomys coucha</t>
  </si>
  <si>
    <t>three-prime repair exonuclease 1 [Mastomys coucha]</t>
  </si>
  <si>
    <t>three prime repair exonuclease 2 [Mauremys mutica]</t>
  </si>
  <si>
    <t>Mauremys mutica</t>
  </si>
  <si>
    <t>three prime repair exonuclease 2 [Mauremys reevesii]</t>
  </si>
  <si>
    <t>Mauremys reevesii</t>
  </si>
  <si>
    <t>PREDICTED: uncharacterized protein LOC100883143 isoform X1 [Megachile rotundata]</t>
  </si>
  <si>
    <t>Megachile rotundata</t>
  </si>
  <si>
    <t>uncharacterized protein LOC117218957 isoform X1 [Megalopta genalis]</t>
  </si>
  <si>
    <t>Megalopta genalis</t>
  </si>
  <si>
    <t>uncharacterized protein LOC117218957 isoform X2 [Megalopta genalis]</t>
  </si>
  <si>
    <t>uncharacterized protein LOC117220338 isoform X1 [Megalopta genalis]</t>
  </si>
  <si>
    <t>uncharacterized protein LOC117220338 isoform X2 [Megalopta genalis]</t>
  </si>
  <si>
    <t>three prime repair exonuclease 2 [Meles meles]</t>
  </si>
  <si>
    <t>Meles meles</t>
  </si>
  <si>
    <t>three-prime repair exonuclease 1 [Meles meles]</t>
  </si>
  <si>
    <t>three-prime repair exonuclease 1-like [Melitaea cinxia]</t>
  </si>
  <si>
    <t>Melitaea cinxia</t>
  </si>
  <si>
    <t>three-prime repair exonuclease 1-like [Mercenaria mercenaria]</t>
  </si>
  <si>
    <t>Mercenaria mercenaria</t>
  </si>
  <si>
    <t>three-prime repair exonuclease 1-like isoform X1 [Mercenaria mercenaria]</t>
  </si>
  <si>
    <t>three-prime repair exonuclease 1-like isoform X2 [Mercenaria mercenaria]</t>
  </si>
  <si>
    <t>uncharacterized protein LOC123524435 [Mercenaria mercenaria]</t>
  </si>
  <si>
    <t>uncharacterized protein LOC123534572 [Mercenaria mercenaria]</t>
  </si>
  <si>
    <t>uncharacterized protein LOC123537482 isoform X1 [Mercenaria mercenaria]</t>
  </si>
  <si>
    <t>uncharacterized protein LOC123537482 isoform X2 [Mercenaria mercenaria]</t>
  </si>
  <si>
    <t>uncharacterized protein LOC123541833 [Mercenaria mercenaria]</t>
  </si>
  <si>
    <t>uncharacterized protein LOC123549926 [Mercenaria mercenaria]</t>
  </si>
  <si>
    <t>uncharacterized protein LOC123560674 [Mercenaria mercenaria]</t>
  </si>
  <si>
    <t>uncharacterized protein LOC123563423 [Mercenaria mercenaria]</t>
  </si>
  <si>
    <t>uncharacterized protein LOC123564325 [Mercenaria mercenaria]</t>
  </si>
  <si>
    <t>three prime repair exonuclease 2 [Meriones unguiculatus]</t>
  </si>
  <si>
    <t>Meriones unguiculatus</t>
  </si>
  <si>
    <t>three-prime repair exonuclease 1 [Meriones unguiculatus]</t>
  </si>
  <si>
    <t>three prime repair exonuclease 2 [Mesocricetus auratus]</t>
  </si>
  <si>
    <t>Mesocricetus auratus</t>
  </si>
  <si>
    <t>three-prime repair exonuclease 1 [Mesocricetus auratus]</t>
  </si>
  <si>
    <t>three prime repair exonuclease 2 [Microcaecilia unicolor]</t>
  </si>
  <si>
    <t>Microcaecilia unicolor</t>
  </si>
  <si>
    <t>three prime repair exonuclease 2-like [Microcaecilia unicolor]</t>
  </si>
  <si>
    <t>three-prime repair exonuclease 1 [Microcaecilia unicolor]</t>
  </si>
  <si>
    <t>three prime repair exonuclease 2 [Microcebus murinus]</t>
  </si>
  <si>
    <t>Microcebus murinus</t>
  </si>
  <si>
    <t>three-prime repair exonuclease 1 [Microcebus murinus]</t>
  </si>
  <si>
    <t>three prime repair exonuclease 2 [Microtus ochrogaster]</t>
  </si>
  <si>
    <t>Microtus ochrogaster</t>
  </si>
  <si>
    <t>three-prime repair exonuclease 1 [Microtus ochrogaster]</t>
  </si>
  <si>
    <t>three prime repair exonuclease 2 [Microtus oregoni]</t>
  </si>
  <si>
    <t>Microtus oregoni</t>
  </si>
  <si>
    <t>three-prime repair exonuclease 1 [Microtus oregoni]</t>
  </si>
  <si>
    <t>PREDICTED: three prime repair exonuclease 2 [Miniopterus natalensis]</t>
  </si>
  <si>
    <t>Miniopterus natalensis</t>
  </si>
  <si>
    <t>PREDICTED: three-prime repair exonuclease 1 [Miniopterus natalensis]</t>
  </si>
  <si>
    <t>three prime repair exonuclease 2 [Mirounga angustirostris]</t>
  </si>
  <si>
    <t>Mirounga angustirostris</t>
  </si>
  <si>
    <t>three prime repair exonuclease 2 [Mirounga leonina]</t>
  </si>
  <si>
    <t>Mirounga leonina</t>
  </si>
  <si>
    <t>three-prime repair exonuclease 1 [Mirounga leonina]</t>
  </si>
  <si>
    <t>three-prime repair exonuclease 1-like [Mizuhopecten yessoensis]</t>
  </si>
  <si>
    <t>Mizuhopecten yessoensis</t>
  </si>
  <si>
    <t>uncharacterized protein LOC110449460 isoform X1 [Mizuhopecten yessoensis]</t>
  </si>
  <si>
    <t>uncharacterized protein LOC110449460 isoform X2 [Mizuhopecten yessoensis]</t>
  </si>
  <si>
    <t>three prime repair exonuclease 2 [Molossus molossus]</t>
  </si>
  <si>
    <t>Molossus molossus</t>
  </si>
  <si>
    <t>three-prime repair exonuclease 1 [Molossus molossus]</t>
  </si>
  <si>
    <t>PREDICTED: three prime repair exonuclease 2 [Monodelphis domestica]</t>
  </si>
  <si>
    <t>Monodelphis domestica</t>
  </si>
  <si>
    <t>PREDICTED: three prime repair exonuclease 2-like [Monodelphis domestica]</t>
  </si>
  <si>
    <t>PREDICTED: three-prime repair exonuclease 1 [Monodelphis domestica]</t>
  </si>
  <si>
    <t>LOW QUALITY PROTEIN: three prime repair exonuclease 2 [Monodon monoceros]</t>
  </si>
  <si>
    <t>Monodon monoceros</t>
  </si>
  <si>
    <t>uncharacterized protein LOC105833606 isoform X1 [Monomorium pharaonis]</t>
  </si>
  <si>
    <t>Monomorium pharaonis</t>
  </si>
  <si>
    <t>uncharacterized protein LOC105833606 isoform X2 [Monomorium pharaonis]</t>
  </si>
  <si>
    <t>three prime repair exonuclease 2 [Mus caroli]</t>
  </si>
  <si>
    <t>Mus caroli</t>
  </si>
  <si>
    <t>three-prime repair exonuclease 1 [Mus caroli]</t>
  </si>
  <si>
    <t>three prime repair exonuclease 2 [Mus musculus]</t>
  </si>
  <si>
    <t>Mus musculus</t>
  </si>
  <si>
    <t>three-prime repair exonuclease 1 [Mus musculus]</t>
  </si>
  <si>
    <t>three prime repair exonuclease 2 [Mus pahari]</t>
  </si>
  <si>
    <t>Mus pahari</t>
  </si>
  <si>
    <t>three-prime repair exonuclease 1 isoform X1 [Mus pahari]</t>
  </si>
  <si>
    <t>three-prime repair exonuclease 1 isoform X2 [Mus pahari]</t>
  </si>
  <si>
    <t>PREDICTED: three prime repair exonuclease 2-like [Musca domestica]</t>
  </si>
  <si>
    <t>Musca domestica</t>
  </si>
  <si>
    <t>PREDICTED: uncharacterized protein LOC101891133 [Musca domestica]</t>
  </si>
  <si>
    <t>three prime repair exonuclease 2 [Mustela erminea]</t>
  </si>
  <si>
    <t>Mustela erminea</t>
  </si>
  <si>
    <t>three-prime repair exonuclease 1 [Mustela erminea]</t>
  </si>
  <si>
    <t>three prime repair exonuclease 2 [Mustela putorius furo]</t>
  </si>
  <si>
    <t>Mustela putorius furo</t>
  </si>
  <si>
    <t>three-prime repair exonuclease 1 [Mustela putorius furo]</t>
  </si>
  <si>
    <t>three prime repair exonuclease 2 [Myodes glareolus]</t>
  </si>
  <si>
    <t>Myodes glareolus</t>
  </si>
  <si>
    <t>three-prime repair exonuclease 1 [Myodes glareolus]</t>
  </si>
  <si>
    <t>PREDICTED: three prime repair exonuclease 2 [Myotis brandtii]</t>
  </si>
  <si>
    <t>Myotis brandtii</t>
  </si>
  <si>
    <t>PREDICTED: three prime repair exonuclease 2 [Myotis davidii]</t>
  </si>
  <si>
    <t>Myotis davidii</t>
  </si>
  <si>
    <t>PREDICTED: three-prime repair exonuclease 1 [Myotis davidii]</t>
  </si>
  <si>
    <t>three prime repair exonuclease 2 [Myotis lucifugus]</t>
  </si>
  <si>
    <t>Myotis lucifugus</t>
  </si>
  <si>
    <t>three prime repair exonuclease 2 [Myotis myotis]</t>
  </si>
  <si>
    <t>Myotis myotis</t>
  </si>
  <si>
    <t>three-prime repair exonuclease 1 [Myotis myotis]</t>
  </si>
  <si>
    <t>three prime repair exonuclease 2 [Nannospalax galili]</t>
  </si>
  <si>
    <t>Nannospalax galili</t>
  </si>
  <si>
    <t>three-prime repair exonuclease 1 isoform X1 [Nannospalax galili]</t>
  </si>
  <si>
    <t>three-prime repair exonuclease 1 isoform X2 [Nannospalax galili]</t>
  </si>
  <si>
    <t>PREDICTED: three prime repair exonuclease 2 [Nanorana parkeri]</t>
  </si>
  <si>
    <t>Nanorana parkeri</t>
  </si>
  <si>
    <t>uncharacterized protein LOC100114369 isoform X1 [Nasonia vitripennis]</t>
  </si>
  <si>
    <t>Nasonia vitripennis</t>
  </si>
  <si>
    <t>uncharacterized protein LOC100114369 isoform X2 [Nasonia vitripennis]</t>
  </si>
  <si>
    <t>three-prime repair exonuclease 1 [Nematostella vectensis]</t>
  </si>
  <si>
    <t>Nematostella vectensis</t>
  </si>
  <si>
    <t>uncharacterized protein LOC124176973 [Neodiprion fabricii]</t>
  </si>
  <si>
    <t>Neodiprion fabricii</t>
  </si>
  <si>
    <t>uncharacterized protein LOC107225659 [Neodiprion lecontei]</t>
  </si>
  <si>
    <t>Neodiprion lecontei</t>
  </si>
  <si>
    <t>uncharacterized protein LOC124213422 [Neodiprion pinetum]</t>
  </si>
  <si>
    <t>Neodiprion pinetum</t>
  </si>
  <si>
    <t>uncharacterized protein LOC124298101 [Neodiprion virginianus]</t>
  </si>
  <si>
    <t>Neodiprion virginianus</t>
  </si>
  <si>
    <t>uncharacterized protein LOC124299228 [Neodiprion virginianus]</t>
  </si>
  <si>
    <t>three prime repair exonuclease 2 [Neogale vison]</t>
  </si>
  <si>
    <t>Neogale vison</t>
  </si>
  <si>
    <t>three-prime repair exonuclease 1 [Neogale vison]</t>
  </si>
  <si>
    <t>three prime repair exonuclease 2 [Neomonachus schauinslandi]</t>
  </si>
  <si>
    <t>Neomonachus schauinslandi</t>
  </si>
  <si>
    <t>three-prime repair exonuclease 1 [Neomonachus schauinslandi]</t>
  </si>
  <si>
    <t>LOW QUALITY PROTEIN: three prime repair exonuclease 2 [Neophocaena asiaeorientalis asiaeorientalis]</t>
  </si>
  <si>
    <t>Neophocaena asiaeorientalis asiaeorientalis</t>
  </si>
  <si>
    <t>three-prime repair exonuclease 1 [Neophocaena asiaeorientalis asiaeorientalis]</t>
  </si>
  <si>
    <t>LOW QUALITY PROTEIN: three-prime repair exonuclease 1-like [Neosciurus carolinensis]</t>
  </si>
  <si>
    <t>Neosciurus carolinensis</t>
  </si>
  <si>
    <t>three prime repair exonuclease 2 [Neosciurus carolinensis]</t>
  </si>
  <si>
    <t>uncharacterized protein LOC111053395 isoform X1 [Nilaparvata lugens]</t>
  </si>
  <si>
    <t>Nilaparvata lugens</t>
  </si>
  <si>
    <t>uncharacterized protein LOC111053395 isoform X2 [Nilaparvata lugens]</t>
  </si>
  <si>
    <t>three prime repair exonuclease 2 [Nomascus leucogenys]</t>
  </si>
  <si>
    <t>Nomascus leucogenys</t>
  </si>
  <si>
    <t>three-prime repair exonuclease 1 [Nomascus leucogenys]</t>
  </si>
  <si>
    <t>uncharacterized protein LOC116424349 isoform X1 [Nomia melanderi]</t>
  </si>
  <si>
    <t>Nomia melanderi</t>
  </si>
  <si>
    <t>uncharacterized protein LOC116424349 isoform X2 [Nomia melanderi]</t>
  </si>
  <si>
    <t>uncharacterized protein LOC116424349 isoform X3 [Nomia melanderi]</t>
  </si>
  <si>
    <t>three prime repair exonuclease 2 [Notechis scutatus]</t>
  </si>
  <si>
    <t>Notechis scutatus</t>
  </si>
  <si>
    <t>uncharacterized protein LOC114936954 [Nylanderia fulva]</t>
  </si>
  <si>
    <t>Nylanderia fulva</t>
  </si>
  <si>
    <t>three prime repair exonuclease 2 [Ochotona curzoniae]</t>
  </si>
  <si>
    <t>Ochotona curzoniae</t>
  </si>
  <si>
    <t>three-prime repair exonuclease 1 [Ochotona curzoniae]</t>
  </si>
  <si>
    <t>three prime repair exonuclease 2 [Ochotona princeps]</t>
  </si>
  <si>
    <t>Ochotona princeps</t>
  </si>
  <si>
    <t>three-prime repair exonuclease 1 [Ochotona princeps]</t>
  </si>
  <si>
    <t>three prime repair exonuclease 2 [Octodon degus]</t>
  </si>
  <si>
    <t>Octodon degus</t>
  </si>
  <si>
    <t>three-prime repair exonuclease 1 [Octodon degus]</t>
  </si>
  <si>
    <t>PREDICTED: three-prime repair exonuclease 1-like [Octopus bimaculoides]</t>
  </si>
  <si>
    <t>Octopus bimaculoides</t>
  </si>
  <si>
    <t>three-prime repair exonuclease 1 [Octopus sinensis]</t>
  </si>
  <si>
    <t>Octopus sinensis</t>
  </si>
  <si>
    <t>PREDICTED: three prime repair exonuclease 2 [Odobenus rosmarus divergens]</t>
  </si>
  <si>
    <t>Odobenus rosmarus divergens</t>
  </si>
  <si>
    <t>PREDICTED: three-prime repair exonuclease 1 [Odobenus rosmarus divergens]</t>
  </si>
  <si>
    <t>three prime repair exonuclease 2 [Odocoileus virginianus texanus]</t>
  </si>
  <si>
    <t>Odocoileus virginianus texanus</t>
  </si>
  <si>
    <t>three-prime repair exonuclease 1 [Odocoileus virginianus texanus]</t>
  </si>
  <si>
    <t>exonuclease DPD1, chloroplastic/mitochondrial [Odontomachus brunneus]</t>
  </si>
  <si>
    <t>Odontomachus brunneus</t>
  </si>
  <si>
    <t>uncharacterized protein LOC111413303 isoform X1 [Onthophagus taurus]</t>
  </si>
  <si>
    <t>Onthophagus taurus</t>
  </si>
  <si>
    <t>uncharacterized protein LOC111413303 isoform X2 [Onthophagus taurus]</t>
  </si>
  <si>
    <t>three prime repair exonuclease 2 [Onychomys torridus]</t>
  </si>
  <si>
    <t>Onychomys torridus</t>
  </si>
  <si>
    <t>three-prime repair exonuclease 1 [Onychomys torridus]</t>
  </si>
  <si>
    <t>uncharacterized protein LOC105284614 [Ooceraea biroi]</t>
  </si>
  <si>
    <t>Ooceraea biroi</t>
  </si>
  <si>
    <t>hypothetical protein T265_08224 [Opisthorchis viverrini]</t>
  </si>
  <si>
    <t>Opisthorchis viverrini</t>
  </si>
  <si>
    <t>three prime repair exonuclease 2-like [Orbicella faveolata]</t>
  </si>
  <si>
    <t>Orbicella faveolata</t>
  </si>
  <si>
    <t>LOW QUALITY PROTEIN: three prime repair exonuclease 2 [Orcinus orca]</t>
  </si>
  <si>
    <t>Orcinus orca</t>
  </si>
  <si>
    <t>three-prime repair exonuclease 1 [Orcinus orca]</t>
  </si>
  <si>
    <t>three prime repair exonuclease 2 [Ornithorhynchus anatinus]</t>
  </si>
  <si>
    <t>Ornithorhynchus anatinus</t>
  </si>
  <si>
    <t>three-prime repair exonuclease 1 isoform X1 [Ornithorhynchus anatinus]</t>
  </si>
  <si>
    <t>three-prime repair exonuclease 1 isoform X2 [Ornithorhynchus anatinus]</t>
  </si>
  <si>
    <t>three prime repair exonuclease 2 [Orussus abietinus]</t>
  </si>
  <si>
    <t>Orussus abietinus</t>
  </si>
  <si>
    <t>three-prime repair exonuclease 1 isoform X2 [Orussus abietinus]</t>
  </si>
  <si>
    <t>uncharacterized protein LOC105700709 isoform X1 [Orussus abietinus]</t>
  </si>
  <si>
    <t>three prime repair exonuclease 2 [Orycteropus afer afer]</t>
  </si>
  <si>
    <t>Orycteropus afer afer</t>
  </si>
  <si>
    <t>three-prime repair exonuclease 1 [Orycteropus afer afer]</t>
  </si>
  <si>
    <t>PREDICTED: LOW QUALITY PROTEIN: three prime repair exonuclease 2 [Oryctolagus cuniculus]</t>
  </si>
  <si>
    <t>Oryctolagus cuniculus</t>
  </si>
  <si>
    <t>PREDICTED: three-prime repair exonuclease 1 isoform X1 [Oryctolagus cuniculus]</t>
  </si>
  <si>
    <t>PREDICTED: three-prime repair exonuclease 1 isoform X2 [Oryctolagus cuniculus]</t>
  </si>
  <si>
    <t>three prime repair exonuclease 2 [Oryx dammah]</t>
  </si>
  <si>
    <t>Oryx dammah</t>
  </si>
  <si>
    <t>three-prime repair exonuclease 1 [Oryx dammah]</t>
  </si>
  <si>
    <t>uncharacterized protein LOC114876898 isoform X1 [Osmia bicornis bicornis]</t>
  </si>
  <si>
    <t>Osmia bicornis bicornis</t>
  </si>
  <si>
    <t>uncharacterized protein LOC114876898 isoform X2 [Osmia bicornis bicornis]</t>
  </si>
  <si>
    <t>uncharacterized protein LOC117609325 isoform X1 [Osmia lignaria]</t>
  </si>
  <si>
    <t>Osmia lignaria</t>
  </si>
  <si>
    <t>uncharacterized protein LOC117609325 isoform X2 [Osmia lignaria]</t>
  </si>
  <si>
    <t>uncharacterized protein LOC114356077 [Ostrinia furnacalis]</t>
  </si>
  <si>
    <t>Ostrinia furnacalis</t>
  </si>
  <si>
    <t>uncharacterized protein LOC114357456 [Ostrinia furnacalis]</t>
  </si>
  <si>
    <t>three prime repair exonuclease 2 [Otolemur garnettii]</t>
  </si>
  <si>
    <t>Otolemur garnettii</t>
  </si>
  <si>
    <t>three-prime repair exonuclease 1 [Otolemur garnettii]</t>
  </si>
  <si>
    <t>three prime repair exonuclease 2 isoform X1 [Ovis aries]</t>
  </si>
  <si>
    <t>Ovis aries</t>
  </si>
  <si>
    <t>three prime repair exonuclease 2 isoform X2 [Ovis aries]</t>
  </si>
  <si>
    <t>three-prime repair exonuclease 1 [Ovis aries]</t>
  </si>
  <si>
    <t>exonuclease domain-containing protein [Paludibacterium paludis]</t>
  </si>
  <si>
    <t>Paludibacterium paludis</t>
  </si>
  <si>
    <t>3'-5' exonuclease [Paludibacterium yongneupense]</t>
  </si>
  <si>
    <t>Paludibacterium yongneupense</t>
  </si>
  <si>
    <t>three prime repair exonuclease 2 [Pan paniscus]</t>
  </si>
  <si>
    <t>Pan paniscus</t>
  </si>
  <si>
    <t>three-prime repair exonuclease 1 [Pan paniscus]</t>
  </si>
  <si>
    <t>three-prime repair exonuclease 1 isoform X1 [Pan troglodytes]</t>
  </si>
  <si>
    <t>Pan troglodytes</t>
  </si>
  <si>
    <t>three-prime repair exonuclease 1 isoform X2 [Pan troglodytes]</t>
  </si>
  <si>
    <t>three-prime repair exonuclease 1 [Panthera leo]</t>
  </si>
  <si>
    <t>Panthera leo</t>
  </si>
  <si>
    <t>PREDICTED: three prime repair exonuclease 2 [Panthera pardus]</t>
  </si>
  <si>
    <t>Panthera pardus</t>
  </si>
  <si>
    <t>PREDICTED: three-prime repair exonuclease 1 [Panthera pardus]</t>
  </si>
  <si>
    <t>three prime repair exonuclease 2 [Panthera tigris]</t>
  </si>
  <si>
    <t>Panthera tigris</t>
  </si>
  <si>
    <t>three-prime repair exonuclease 1 [Panthera tigris]</t>
  </si>
  <si>
    <t>three prime repair exonuclease 2 [Pantherophis guttatus]</t>
  </si>
  <si>
    <t>Pantherophis guttatus</t>
  </si>
  <si>
    <t>three-prime repair exonuclease 1 [Papilio machaon]</t>
  </si>
  <si>
    <t>Papilio machaon</t>
  </si>
  <si>
    <t>PREDICTED: three-prime repair exonuclease 1-like [Papilio polytes]</t>
  </si>
  <si>
    <t>Papilio polytes</t>
  </si>
  <si>
    <t>PREDICTED: uncharacterized protein LOC106108232 [Papilio polytes]</t>
  </si>
  <si>
    <t>PREDICTED: three-prime repair exonuclease 1-like [Papilio xuthus]</t>
  </si>
  <si>
    <t>Papilio xuthus</t>
  </si>
  <si>
    <t>PREDICTED: uncharacterized protein LOC106128331 [Papilio xuthus]</t>
  </si>
  <si>
    <t>three prime repair exonuclease 2 [Papio anubis]</t>
  </si>
  <si>
    <t>Papio anubis</t>
  </si>
  <si>
    <t>three-prime repair exonuclease 1 [Papio anubis]</t>
  </si>
  <si>
    <t>three-prime repair exonuclease 1-like [Pararge aegeria]</t>
  </si>
  <si>
    <t>Pararge aegeria</t>
  </si>
  <si>
    <t>uncharacterized protein LOC120626072 [Pararge aegeria]</t>
  </si>
  <si>
    <t>three-prime repair exonuclease 1 [Parasteatoda tepidariorum]</t>
  </si>
  <si>
    <t>Parasteatoda tepidariorum</t>
  </si>
  <si>
    <t>uncharacterized protein LOC107457102 isoform X1 [Parasteatoda tepidariorum]</t>
  </si>
  <si>
    <t>uncharacterized protein LOC107457102 isoform X2 [Parasteatoda tepidariorum]</t>
  </si>
  <si>
    <t>three prime repair exonuclease 2-like [Patiria miniata]</t>
  </si>
  <si>
    <t>Patiria miniata</t>
  </si>
  <si>
    <t>three-prime repair exonuclease 1-like [Pecten maximus]</t>
  </si>
  <si>
    <t>Pecten maximus</t>
  </si>
  <si>
    <t>conserved hypothetical protein [Pediculus humanus corporis]</t>
  </si>
  <si>
    <t>Pediculus humanus corporis</t>
  </si>
  <si>
    <t>three prime repair exonuclease 2-like [Pelodiscus sinensis]</t>
  </si>
  <si>
    <t>Pelodiscus sinensis</t>
  </si>
  <si>
    <t>uncharacterized protein LOC125046601 [Penaeus chinensis]</t>
  </si>
  <si>
    <t>Penaeus chinensis</t>
  </si>
  <si>
    <t>three-prime repair exonuclease 1-like [Penaeus japonicus]</t>
  </si>
  <si>
    <t>Penaeus japonicus</t>
  </si>
  <si>
    <t>uncharacterized protein LOC119591445 [Penaeus monodon]</t>
  </si>
  <si>
    <t>Penaeus monodon</t>
  </si>
  <si>
    <t>uncharacterized protein LOC113803765 [Penaeus vannamei]</t>
  </si>
  <si>
    <t>Penaeus vannamei</t>
  </si>
  <si>
    <t>three prime repair exonuclease 2 [Perognathus longimembris pacificus]</t>
  </si>
  <si>
    <t>Perognathus longimembris pacificus</t>
  </si>
  <si>
    <t>three-prime repair exonuclease 1 [Perognathus longimembris pacificus]</t>
  </si>
  <si>
    <t>three prime repair exonuclease 2 [Peromyscus leucopus]</t>
  </si>
  <si>
    <t>Peromyscus leucopus</t>
  </si>
  <si>
    <t>three-prime repair exonuclease 1 [Peromyscus leucopus]</t>
  </si>
  <si>
    <t>three prime repair exonuclease 2 [Peromyscus maniculatus bairdii]</t>
  </si>
  <si>
    <t>Peromyscus maniculatus bairdii</t>
  </si>
  <si>
    <t>three-prime repair exonuclease 1 [Peromyscus maniculatus bairdii]</t>
  </si>
  <si>
    <t>three prime repair exonuclease 2-like [Petromyzon marinus]</t>
  </si>
  <si>
    <t>Petromyzon marinus</t>
  </si>
  <si>
    <t>three prime repair exonuclease 2 [Phacochoerus africanus]</t>
  </si>
  <si>
    <t>Phacochoerus africanus</t>
  </si>
  <si>
    <t>three-prime repair exonuclease 1-like [Phacochoerus africanus]</t>
  </si>
  <si>
    <t>three prime repair exonuclease 2 [Phascolarctos cinereus]</t>
  </si>
  <si>
    <t>Phascolarctos cinereus</t>
  </si>
  <si>
    <t>three-prime repair exonuclease 1 [Phascolarctos cinereus]</t>
  </si>
  <si>
    <t>three prime repair exonuclease 2 [Phoca vitulina]</t>
  </si>
  <si>
    <t>Phoca vitulina</t>
  </si>
  <si>
    <t>three-prime repair exonuclease 1 [Phoca vitulina]</t>
  </si>
  <si>
    <t>LOW QUALITY PROTEIN: three prime repair exonuclease 2 [Phocoena sinus]</t>
  </si>
  <si>
    <t>Phocoena sinus</t>
  </si>
  <si>
    <t>three-prime repair exonuclease 1 [Photinus pyralis]</t>
  </si>
  <si>
    <t>Photinus pyralis</t>
  </si>
  <si>
    <t>three prime repair exonuclease 2 [Phyllostomus discolor]</t>
  </si>
  <si>
    <t>Phyllostomus discolor</t>
  </si>
  <si>
    <t>three-prime repair exonuclease 1 [Phyllostomus discolor]</t>
  </si>
  <si>
    <t>ATR-interacting protein [Phyllostomus hastatus]</t>
  </si>
  <si>
    <t>Phyllostomus hastatus</t>
  </si>
  <si>
    <t>three prime repair exonuclease 2 [Phyllostomus hastatus]</t>
  </si>
  <si>
    <t>LOW QUALITY PROTEIN: three prime repair exonuclease 2 [Physeter catodon]</t>
  </si>
  <si>
    <t>Physeter catodon</t>
  </si>
  <si>
    <t>three-prime repair exonuclease 1 [Physeter catodon]</t>
  </si>
  <si>
    <t>three-prime repair exonuclease 1-like [Pieris brassicae]</t>
  </si>
  <si>
    <t>Pieris brassicae</t>
  </si>
  <si>
    <t>uncharacterized protein LOC123714628 isoform X1 [Pieris brassicae]</t>
  </si>
  <si>
    <t>uncharacterized protein LOC125059642 [Pieris napi]</t>
  </si>
  <si>
    <t>Pieris napi</t>
  </si>
  <si>
    <t>uncharacterized protein LOC125059874 [Pieris napi]</t>
  </si>
  <si>
    <t>three-prime repair exonuclease 1 [Pieris rapae]</t>
  </si>
  <si>
    <t>Pieris rapae</t>
  </si>
  <si>
    <t>three-prime repair exonuclease 1-like [Pieris rapae]</t>
  </si>
  <si>
    <t>three prime repair exonuclease 2 [Piliocolobus tephrosceles]</t>
  </si>
  <si>
    <t>Piliocolobus tephrosceles</t>
  </si>
  <si>
    <t>three-prime repair exonuclease 1 [Piliocolobus tephrosceles]</t>
  </si>
  <si>
    <t>three prime repair exonuclease 2 [Pipistrellus kuhlii]</t>
  </si>
  <si>
    <t>Pipistrellus kuhlii</t>
  </si>
  <si>
    <t>three-prime repair exonuclease 1 [Pipistrellus kuhlii]</t>
  </si>
  <si>
    <t>uncharacterized protein LOC105390855 [Plutella xylostella]</t>
  </si>
  <si>
    <t>Plutella xylostella</t>
  </si>
  <si>
    <t>uncharacterized protein LOC119691652 [Plutella xylostella]</t>
  </si>
  <si>
    <t>three prime repair exonuclease 2-like [Pocillopora damicornis]</t>
  </si>
  <si>
    <t>Pocillopora damicornis</t>
  </si>
  <si>
    <t>three prime repair exonuclease 2-like isoform X1 [Podarcis muralis]</t>
  </si>
  <si>
    <t>Podarcis muralis</t>
  </si>
  <si>
    <t>three prime repair exonuclease 2-like isoform X2 [Podarcis muralis]</t>
  </si>
  <si>
    <t>three-prime repair exonuclease 1 [Podarcis muralis]</t>
  </si>
  <si>
    <t>three prime repair exonuclease 2 [Pogona vitticeps]</t>
  </si>
  <si>
    <t>Pogona vitticeps</t>
  </si>
  <si>
    <t>three prime repair exonuclease 2-like isoform X1 [Pogona vitticeps]</t>
  </si>
  <si>
    <t>three prime repair exonuclease 2-like isoform X2 [Pogona vitticeps]</t>
  </si>
  <si>
    <t>three prime repair exonuclease 2-like isoform X3 [Pogona vitticeps]</t>
  </si>
  <si>
    <t>PREDICTED: three prime repair exonuclease 2 isoform X1 [Polistes canadensis]</t>
  </si>
  <si>
    <t>Polistes canadensis</t>
  </si>
  <si>
    <t>PREDICTED: three prime repair exonuclease 2 isoform X2 [Polistes canadensis]</t>
  </si>
  <si>
    <t>PREDICTED: three-prime repair exonuclease 1 [Polistes dominula]</t>
  </si>
  <si>
    <t>Polistes dominula</t>
  </si>
  <si>
    <t>three prime repair exonuclease 2 [Polistes fuscatus]</t>
  </si>
  <si>
    <t>Polistes fuscatus</t>
  </si>
  <si>
    <t>three prime repair exonuclease 2-like [Polyodon spathula]</t>
  </si>
  <si>
    <t>Polyodon spathula</t>
  </si>
  <si>
    <t>three prime repair exonuclease 2-like [Polypterus senegalus]</t>
  </si>
  <si>
    <t>Polypterus senegalus</t>
  </si>
  <si>
    <t>uncharacterized protein LOC112575626 [Pomacea canaliculata]</t>
  </si>
  <si>
    <t>Pomacea canaliculata</t>
  </si>
  <si>
    <t>three prime repair exonuclease 2 [Pongo abelii]</t>
  </si>
  <si>
    <t>Pongo abelii</t>
  </si>
  <si>
    <t>three-prime repair exonuclease 1 [Pongo abelii]</t>
  </si>
  <si>
    <t>uncharacterized protein LOC123509481 [Portunus trituberculatus]</t>
  </si>
  <si>
    <t>Portunus trituberculatus</t>
  </si>
  <si>
    <t>three prime repair exonuclease 2 [Prionailurus bengalensis]</t>
  </si>
  <si>
    <t>Prionailurus bengalensis</t>
  </si>
  <si>
    <t>three prime repair exonuclease 2 [Prionailurus viverrinus]</t>
  </si>
  <si>
    <t>Prionailurus viverrinus</t>
  </si>
  <si>
    <t>three-prime repair exonuclease 1-like [Prionailurus viverrinus]</t>
  </si>
  <si>
    <t>uncharacterized protein LOC123767682 [Procambarus clarkii]</t>
  </si>
  <si>
    <t>Procambarus clarkii</t>
  </si>
  <si>
    <t>PREDICTED: three prime repair exonuclease 2 [Propithecus coquereli]</t>
  </si>
  <si>
    <t>Propithecus coquereli</t>
  </si>
  <si>
    <t>PREDICTED: three-prime repair exonuclease 1 [Propithecus coquereli]</t>
  </si>
  <si>
    <t>three prime repair exonuclease 2 [Protobothrops mucrosquamatus]</t>
  </si>
  <si>
    <t>Protobothrops mucrosquamatus</t>
  </si>
  <si>
    <t>three prime repair exonuclease 2 [Protopterus annectens]</t>
  </si>
  <si>
    <t>Protopterus annectens</t>
  </si>
  <si>
    <t>three prime repair exonuclease 2-like [Protopterus annectens]</t>
  </si>
  <si>
    <t>three-prime repair exonuclease 1-like [Protopterus annectens]</t>
  </si>
  <si>
    <t>three prime repair exonuclease 2 [Pseudonaja textilis]</t>
  </si>
  <si>
    <t>Pseudonaja textilis</t>
  </si>
  <si>
    <t>three prime repair exonuclease 2 [Pteropus alecto]</t>
  </si>
  <si>
    <t>Pteropus alecto</t>
  </si>
  <si>
    <t>three-prime repair exonuclease 1 [Pteropus alecto]</t>
  </si>
  <si>
    <t>three-prime repair exonuclease 1 [Pteropus giganteus]</t>
  </si>
  <si>
    <t>Pteropus giganteus</t>
  </si>
  <si>
    <t>three prime repair exonuclease 2 [Pteropus vampyrus]</t>
  </si>
  <si>
    <t>Pteropus vampyrus</t>
  </si>
  <si>
    <t>three-prime repair exonuclease 1 [Pteropus vampyrus]</t>
  </si>
  <si>
    <t>three prime repair exonuclease 2 [Puma concolor]</t>
  </si>
  <si>
    <t>Puma concolor</t>
  </si>
  <si>
    <t>three-prime repair exonuclease 1 [Puma concolor]</t>
  </si>
  <si>
    <t>three prime repair exonuclease 2 [Puma yagouaroundi]</t>
  </si>
  <si>
    <t>Puma yagouaroundi</t>
  </si>
  <si>
    <t>three prime repair exonuclease 2 isoform X1 [Python bivittatus]</t>
  </si>
  <si>
    <t>Python bivittatus</t>
  </si>
  <si>
    <t>three prime repair exonuclease 2 isoform X2 [Python bivittatus]</t>
  </si>
  <si>
    <t>three prime repair exonuclease 2-like [Rana temporaria]</t>
  </si>
  <si>
    <t>Rana temporaria</t>
  </si>
  <si>
    <t>three prime repair exonuclease 2 [Rattus norvegicus]</t>
  </si>
  <si>
    <t>Rattus norvegicus</t>
  </si>
  <si>
    <t>three-prime repair exonuclease 1 [Rattus norvegicus]</t>
  </si>
  <si>
    <t>three prime repair exonuclease 2 [Rattus rattus]</t>
  </si>
  <si>
    <t>Rattus rattus</t>
  </si>
  <si>
    <t>three-prime repair exonuclease 1 [Rattus rattus]</t>
  </si>
  <si>
    <t>uncharacterized protein LOC118735497 [Rhagoletis pomonella]</t>
  </si>
  <si>
    <t>Rhagoletis pomonella</t>
  </si>
  <si>
    <t>PREDICTED: uncharacterized protein LOC108367268 [Rhagoletis zephyria]</t>
  </si>
  <si>
    <t>Rhagoletis zephyria</t>
  </si>
  <si>
    <t>three prime repair exonuclease 2-like [Rhinatrema bivittatum]</t>
  </si>
  <si>
    <t>Rhinatrema bivittatum</t>
  </si>
  <si>
    <t>three-prime repair exonuclease 1-like isoform X1 [Rhinatrema bivittatum]</t>
  </si>
  <si>
    <t>three-prime repair exonuclease 1-like isoform X2 [Rhinatrema bivittatum]</t>
  </si>
  <si>
    <t>three prime repair exonuclease 2 [Rhinolophus ferrumequinum]</t>
  </si>
  <si>
    <t>Rhinolophus ferrumequinum</t>
  </si>
  <si>
    <t>three-prime repair exonuclease 1 [Rhinolophus ferrumequinum]</t>
  </si>
  <si>
    <t>PREDICTED: three prime repair exonuclease 2 [Rhinolophus sinicus]</t>
  </si>
  <si>
    <t>Rhinolophus sinicus</t>
  </si>
  <si>
    <t>PREDICTED: three-prime repair exonuclease 1 [Rhinolophus sinicus]</t>
  </si>
  <si>
    <t>three prime repair exonuclease 2 isoform X1 [Rhinopithecus roxellana]</t>
  </si>
  <si>
    <t>Rhinopithecus roxellana</t>
  </si>
  <si>
    <t>three prime repair exonuclease 2 isoform X2 [Rhinopithecus roxellana]</t>
  </si>
  <si>
    <t>three-prime repair exonuclease 1 [Rhinopithecus roxellana]</t>
  </si>
  <si>
    <t>three-prime repair exonuclease 1-like isoform X1 [Rhipicephalus microplus]</t>
  </si>
  <si>
    <t>Rhipicephalus microplus</t>
  </si>
  <si>
    <t>uncharacterized protein LOC119161059 isoform X1 [Rhipicephalus microplus]</t>
  </si>
  <si>
    <t>uncharacterized protein LOC119161059 isoform X2 [Rhipicephalus microplus]</t>
  </si>
  <si>
    <t>uncharacterized protein LOC119161062 isoform X2 [Rhipicephalus microplus]</t>
  </si>
  <si>
    <t>three-prime repair exonuclease 1 [Rhipicephalus sanguineus]</t>
  </si>
  <si>
    <t>Rhipicephalus sanguineus</t>
  </si>
  <si>
    <t>uncharacterized protein LOC119378590 [Rhipicephalus sanguineus]</t>
  </si>
  <si>
    <t>three prime repair exonuclease 2 [Rousettus aegyptiacus]</t>
  </si>
  <si>
    <t>Rousettus aegyptiacus</t>
  </si>
  <si>
    <t>three-prime repair exonuclease 1 isoform X1 [Rousettus aegyptiacus]</t>
  </si>
  <si>
    <t>three-prime repair exonuclease 1 isoform X2 [Rousettus aegyptiacus]</t>
  </si>
  <si>
    <t>PREDICTED: three prime repair exonuclease 1-like [Saccoglossus kowalevskii]</t>
  </si>
  <si>
    <t>Saccoglossus kowalevskii</t>
  </si>
  <si>
    <t>PREDICTED: uncharacterized protein LOC100371579 [Saccoglossus kowalevskii]</t>
  </si>
  <si>
    <t>three prime repair exonuclease 2 [Saimiri boliviensis boliviensis]</t>
  </si>
  <si>
    <t>Saimiri boliviensis boliviensis</t>
  </si>
  <si>
    <t>three-prime repair exonuclease 1 [Saimiri boliviensis boliviensis]</t>
  </si>
  <si>
    <t>three prime repair exonuclease 2 [Sapajus apella]</t>
  </si>
  <si>
    <t>Sapajus apella</t>
  </si>
  <si>
    <t>three-prime repair exonuclease 1 [Sapajus apella]</t>
  </si>
  <si>
    <t>three prime repair exonuclease 2 [Sarcophilus harrisii]</t>
  </si>
  <si>
    <t>Sarcophilus harrisii</t>
  </si>
  <si>
    <t>three-prime repair exonuclease 1 [Sarcophilus harrisii]</t>
  </si>
  <si>
    <t>three prime repair exonuclease 2 [Scaptodrosophila lebanonensis]</t>
  </si>
  <si>
    <t>Scaptodrosophila lebanonensis</t>
  </si>
  <si>
    <t>three prime repair exonuclease 2-like [Sceloporus undulatus]</t>
  </si>
  <si>
    <t>Sceloporus undulatus</t>
  </si>
  <si>
    <t>three-prime repair exonuclease 1 [Sceloporus undulatus]</t>
  </si>
  <si>
    <t>uncharacterized protein LOC124612640 [Schistocerca americana]</t>
  </si>
  <si>
    <t>Schistocerca americana</t>
  </si>
  <si>
    <t>three-prime repair exonuclease 1-like [Schistocerca piceifrons]</t>
  </si>
  <si>
    <t>Schistocerca piceifrons</t>
  </si>
  <si>
    <t>uncharacterized protein LOC124795040 [Schistocerca piceifrons]</t>
  </si>
  <si>
    <t>uncharacterized protein MS3_0016618 [Schistosoma haematobium]</t>
  </si>
  <si>
    <t>Schistosoma haematobium</t>
  </si>
  <si>
    <t>hypothetical protein Smp_146310 [Schistosoma mansoni]</t>
  </si>
  <si>
    <t>Schistosoma mansoni</t>
  </si>
  <si>
    <t>uncharacterized protein LOC115878495 isoform X1 [Sitophilus oryzae]</t>
  </si>
  <si>
    <t>Sitophilus oryzae</t>
  </si>
  <si>
    <t>uncharacterized protein LOC115878495 isoform X2 [Sitophilus oryzae]</t>
  </si>
  <si>
    <t>PREDICTED: three prime repair exonuclease 2 [Sorex araneus]</t>
  </si>
  <si>
    <t>Sorex araneus</t>
  </si>
  <si>
    <t>PREDICTED: three-prime repair exonuclease 1 [Sorex araneus]</t>
  </si>
  <si>
    <t>three prime repair exonuclease 2 [Sphaerodactylus townsendi]</t>
  </si>
  <si>
    <t>Sphaerodactylus townsendi</t>
  </si>
  <si>
    <t>three-prime repair exonuclease 1-like [Sphaerodactylus townsendi]</t>
  </si>
  <si>
    <t>exonuclease DPD1, chloroplastic/mitochondrial-like [Spodoptera frugiperda]</t>
  </si>
  <si>
    <t>Spodoptera frugiperda</t>
  </si>
  <si>
    <t>three prime repair exonuclease 2-like [Spodoptera frugiperda]</t>
  </si>
  <si>
    <t>uncharacterized protein LOC118276949 [Spodoptera frugiperda]</t>
  </si>
  <si>
    <t>exonuclease DPD1, chloroplastic/mitochondrial-like [Spodoptera litura]</t>
  </si>
  <si>
    <t>Spodoptera litura</t>
  </si>
  <si>
    <t>three prime repair exonuclease 2-like [Spodoptera litura]</t>
  </si>
  <si>
    <t>uncharacterized protein LOC111350997 [Spodoptera litura]</t>
  </si>
  <si>
    <t>three-prime repair exonuclease 1-like [Stegodyphus dumicola]</t>
  </si>
  <si>
    <t>Stegodyphus dumicola</t>
  </si>
  <si>
    <t>PREDICTED: uncharacterized protein LOC106086324 [Stomoxys calcitrans]</t>
  </si>
  <si>
    <t>Stomoxys calcitrans</t>
  </si>
  <si>
    <t>LOW QUALITY PROTEIN: three-prime repair exonuclease 1-like [Strongylocentrotus purpuratus]</t>
  </si>
  <si>
    <t>Strongylocentrotus purpuratus</t>
  </si>
  <si>
    <t>three prime repair exonuclease 2-like [Strongylocentrotus purpuratus]</t>
  </si>
  <si>
    <t>uncharacterized protein LOC115929080 [Strongylocentrotus purpuratus]</t>
  </si>
  <si>
    <t>uncharacterized protein LOC755651 [Strongylocentrotus purpuratus]</t>
  </si>
  <si>
    <t>three prime repair exonuclease 2 [Sturnira hondurensis]</t>
  </si>
  <si>
    <t>Sturnira hondurensis</t>
  </si>
  <si>
    <t>three-prime repair exonuclease 1 [Sturnira hondurensis]</t>
  </si>
  <si>
    <t>three-prime repair exonuclease 1-like [Styela clava]</t>
  </si>
  <si>
    <t>Styela clava</t>
  </si>
  <si>
    <t>uncharacterized protein LOC120333709 [Styela clava]</t>
  </si>
  <si>
    <t>three prime repair exonuclease 2-like [Stylophora pistillata]</t>
  </si>
  <si>
    <t>Stylophora pistillata</t>
  </si>
  <si>
    <t>3'-5' exonuclease [Sulfuriferula nivalis]</t>
  </si>
  <si>
    <t>Sulfuriferula nivalis</t>
  </si>
  <si>
    <t>three prime repair exonuclease 2 [Suricata suricatta]</t>
  </si>
  <si>
    <t>Suricata suricatta</t>
  </si>
  <si>
    <t>three-prime repair exonuclease 1 [Suricata suricatta]</t>
  </si>
  <si>
    <t>three prime repair exonuclease 2 [Sus scrofa]</t>
  </si>
  <si>
    <t>Sus scrofa</t>
  </si>
  <si>
    <t>three-prime repair exonuclease 1 [Sus scrofa]</t>
  </si>
  <si>
    <t>three prime repair exonuclease 2 [Tachyglossus aculeatus]</t>
  </si>
  <si>
    <t>Tachyglossus aculeatus</t>
  </si>
  <si>
    <t>three-prime repair exonuclease 1 isoform X1 [Tachyglossus aculeatus]</t>
  </si>
  <si>
    <t>three-prime repair exonuclease 1 isoform X2 [Tachyglossus aculeatus]</t>
  </si>
  <si>
    <t>three prime repair exonuclease 2 [Talpa occidentalis]</t>
  </si>
  <si>
    <t>Talpa occidentalis</t>
  </si>
  <si>
    <t>three-prime repair exonuclease 1 [Talpa occidentalis]</t>
  </si>
  <si>
    <t>uncharacterized protein LOC119690280 [Teleopsis dalmanni]</t>
  </si>
  <si>
    <t>Teleopsis dalmanni</t>
  </si>
  <si>
    <t>uncharacterized protein LOC112454073 [Temnothorax curvispinosus]</t>
  </si>
  <si>
    <t>Temnothorax curvispinosus</t>
  </si>
  <si>
    <t>three prime repair exonuclease 2 [Terrapene carolina triunguis]</t>
  </si>
  <si>
    <t>Terrapene carolina triunguis</t>
  </si>
  <si>
    <t>three prime repair exonuclease 2 [Thamnophis elegans]</t>
  </si>
  <si>
    <t>Thamnophis elegans</t>
  </si>
  <si>
    <t>PREDICTED: three prime repair exonuclease 2 [Thamnophis sirtalis]</t>
  </si>
  <si>
    <t>Thamnophis sirtalis</t>
  </si>
  <si>
    <t>three prime repair exonuclease 2 [Theropithecus gelada]</t>
  </si>
  <si>
    <t>Theropithecus gelada</t>
  </si>
  <si>
    <t>three-prime repair exonuclease 1 isoform X1 [Theropithecus gelada]</t>
  </si>
  <si>
    <t>three-prime repair exonuclease 1 isoform X2 [Theropithecus gelada]</t>
  </si>
  <si>
    <t>uncharacterized protein LOC117653498 [Thrips palmi]</t>
  </si>
  <si>
    <t>Thrips palmi</t>
  </si>
  <si>
    <t>V-TREX [Tipula oleracea nudivirus]</t>
  </si>
  <si>
    <t>Tipula oleracea nudivirus</t>
  </si>
  <si>
    <t>PREDICTED: uncharacterized protein LOC108763641 [Trachymyrmex cornetzi]</t>
  </si>
  <si>
    <t>Trachymyrmex cornetzi</t>
  </si>
  <si>
    <t>PREDICTED: uncharacterized protein LOC108756871 [Trachymyrmex septentrionalis]</t>
  </si>
  <si>
    <t>Trachymyrmex septentrionalis</t>
  </si>
  <si>
    <t>PREDICTED: uncharacterized protein LOC108727395 [Trachymyrmex zeteki]</t>
  </si>
  <si>
    <t>Trachymyrmex zeteki</t>
  </si>
  <si>
    <t>three prime repair exonuclease 2 [Trachypithecus francoisi]</t>
  </si>
  <si>
    <t>Trachypithecus francoisi</t>
  </si>
  <si>
    <t>three-prime repair exonuclease 1 [Trachypithecus francoisi]</t>
  </si>
  <si>
    <t>PREDICTED: three prime repair exonuclease 2 [Tribolium castaneum]</t>
  </si>
  <si>
    <t>Tribolium castaneum</t>
  </si>
  <si>
    <t>PREDICTED: three-prime repair exonuclease 1 [Tribolium castaneum]</t>
  </si>
  <si>
    <t>uncharacterized protein LOC123003584 [Tribolium madens]</t>
  </si>
  <si>
    <t>Tribolium madens</t>
  </si>
  <si>
    <t>three prime repair exonuclease 2 [Trichechus manatus latirostris]</t>
  </si>
  <si>
    <t>Trichechus manatus latirostris</t>
  </si>
  <si>
    <t>three-prime repair exonuclease 1 [Trichechus manatus latirostris]</t>
  </si>
  <si>
    <t>three prime repair exonuclease 1 [Trichinella spiralis]</t>
  </si>
  <si>
    <t>Trichinella spiralis</t>
  </si>
  <si>
    <t>uncharacterized protein LOC113493735 [Trichoplusia ni]</t>
  </si>
  <si>
    <t>Trichoplusia ni</t>
  </si>
  <si>
    <t>uncharacterized protein LOC113493736 [Trichoplusia ni]</t>
  </si>
  <si>
    <t>uncharacterized protein LOC113493737 [Trichoplusia ni]</t>
  </si>
  <si>
    <t>uncharacterized protein LOC113505154 [Trichoplusia ni]</t>
  </si>
  <si>
    <t>three prime repair exonuclease 2 [Trichosurus vulpecula]</t>
  </si>
  <si>
    <t>Trichosurus vulpecula</t>
  </si>
  <si>
    <t>three-prime repair exonuclease 1 [Trichosurus vulpecula]</t>
  </si>
  <si>
    <t>LOW QUALITY PROTEIN: three prime repair exonuclease 2 [Tupaia chinensis]</t>
  </si>
  <si>
    <t>Tupaia chinensis</t>
  </si>
  <si>
    <t>three-prime repair exonuclease 1 [Tupaia chinensis]</t>
  </si>
  <si>
    <t>LOW QUALITY PROTEIN: three prime repair exonuclease 2 [Tursiops truncatus]</t>
  </si>
  <si>
    <t>Tursiops truncatus</t>
  </si>
  <si>
    <t>three-prime repair exonuclease 1 [Tursiops truncatus]</t>
  </si>
  <si>
    <t>three-prime repair exonuclease 1 [Urocitellus parryii]</t>
  </si>
  <si>
    <t>Urocitellus parryii</t>
  </si>
  <si>
    <t>three prime repair exonuclease 2 [Ursus arctos]</t>
  </si>
  <si>
    <t>Ursus arctos</t>
  </si>
  <si>
    <t>three prime repair exonuclease 2 [Ursus maritimus]</t>
  </si>
  <si>
    <t>Ursus maritimus</t>
  </si>
  <si>
    <t>three prime repair exonuclease 2 isoform X1 [Ursus maritimus]</t>
  </si>
  <si>
    <t>three-prime repair exonuclease 1 [Ursus maritimus]</t>
  </si>
  <si>
    <t>three-prime repair exonuclease 1-like [Vanessa atalanta]</t>
  </si>
  <si>
    <t>Vanessa atalanta</t>
  </si>
  <si>
    <t>uncharacterized protein LOC125073297 [Vanessa atalanta]</t>
  </si>
  <si>
    <t>three prime repair exonuclease 2-like [Vanessa cardui]</t>
  </si>
  <si>
    <t>Vanessa cardui</t>
  </si>
  <si>
    <t>three-prime repair exonuclease 1-like [Vanessa tameamea]</t>
  </si>
  <si>
    <t>Vanessa tameamea</t>
  </si>
  <si>
    <t>uncharacterized protein LOC113399532 [Vanessa tameamea]</t>
  </si>
  <si>
    <t>three prime repair exonuclease 2-like isoform X1 [Varanus komodoensis]</t>
  </si>
  <si>
    <t>Varanus komodoensis</t>
  </si>
  <si>
    <t>three prime repair exonuclease 2-like isoform X2 [Varanus komodoensis]</t>
  </si>
  <si>
    <t>uncharacterized protein LOC111249405 [Varroa destructor]</t>
  </si>
  <si>
    <t>Varroa destructor</t>
  </si>
  <si>
    <t>three prime repair exonuclease 2 [Vicugna pacos]</t>
  </si>
  <si>
    <t>Vicugna pacos</t>
  </si>
  <si>
    <t>three-prime repair exonuclease 1 isoform X1 [Vicugna pacos]</t>
  </si>
  <si>
    <t>three-prime repair exonuclease 1 isoform X2 [Vicugna pacos]</t>
  </si>
  <si>
    <t>PREDICTED: uncharacterized protein LOC105567893 [Vollenhovia emeryi]</t>
  </si>
  <si>
    <t>Vollenhovia emeryi</t>
  </si>
  <si>
    <t>three prime repair exonuclease 2 [Vombatus ursinus]</t>
  </si>
  <si>
    <t>Vombatus ursinus</t>
  </si>
  <si>
    <t>three-prime repair exonuclease 1 [Vombatus ursinus]</t>
  </si>
  <si>
    <t>three prime repair exonuclease 2 [Vulpes lagopus]</t>
  </si>
  <si>
    <t>Vulpes lagopus</t>
  </si>
  <si>
    <t>three-prime repair exonuclease 1 isoform X1 [Vulpes lagopus]</t>
  </si>
  <si>
    <t>three-prime repair exonuclease 1 isoform X2 [Vulpes lagopus]</t>
  </si>
  <si>
    <t>three prime repair exonuclease 2 [Vulpes vulpes]</t>
  </si>
  <si>
    <t>Vulpes vulpes</t>
  </si>
  <si>
    <t>three-prime repair exonuclease 1 [Vulpes vulpes]</t>
  </si>
  <si>
    <t>three prime repair exonuclease 2 [Xenopus laevis]</t>
  </si>
  <si>
    <t>Xenopus laevis</t>
  </si>
  <si>
    <t>three prime repair exonuclease 2 isoform X1 [Xenopus laevis]</t>
  </si>
  <si>
    <t>three prime repair exonuclease 2 isoform X2 [Xenopus laevis]</t>
  </si>
  <si>
    <t>three prime repair exonuclease 2 [Xenopus tropicalis]</t>
  </si>
  <si>
    <t>Xenopus tropicalis</t>
  </si>
  <si>
    <t>three prime repair exonuclease 2 [Zalophus californianus]</t>
  </si>
  <si>
    <t>Zalophus californianus</t>
  </si>
  <si>
    <t>three-prime repair exonuclease 1 [Zalophus californianus]</t>
  </si>
  <si>
    <t>uncharacterized protein LOC119836969 [Zerene cesonia]</t>
  </si>
  <si>
    <t>Zerene cesonia</t>
  </si>
  <si>
    <t>uncharacterized protein LOC119837053 [Zerene cesonia]</t>
  </si>
  <si>
    <t>three-prime repair exonuclease 1 [Zeugodacus cucurbitae]</t>
  </si>
  <si>
    <t>Zeugodacus cucurbitae</t>
  </si>
  <si>
    <t>uncharacterized protein Trex1_1 [Zeugodacus cucurbitae]</t>
  </si>
  <si>
    <t>three prime repair exonuclease 2 isoform X1 [Zootermopsis nevadensis]</t>
  </si>
  <si>
    <t>Zootermopsis nevadensis</t>
  </si>
  <si>
    <t>three-prime repair exonuclease 1 isoform X2 [Zootermopsis nevadensis]</t>
  </si>
  <si>
    <t>three prime repair exonuclease 2 [Zootoca vivipara]</t>
  </si>
  <si>
    <t>Zootoca vivipara</t>
  </si>
  <si>
    <t>uncharacterized protein LOC118081570 [Zootoca vivipara]</t>
  </si>
  <si>
    <t xml:space="preserve">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</si>
</sst>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sz val="13"/>
      <color rgb="FF002060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3"/>
      <color theme="1"/>
      <name val="Calibri"/>
      <family val="2"/>
    </font>
    <font>
      <u/>
      <sz val="12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5FC79"/>
        <bgColor indexed="64"/>
      </patternFill>
    </fill>
    <fill>
      <patternFill patternType="solid">
        <fgColor rgb="FFFFD57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5" fillId="0" borderId="0" applyNumberFormat="0" applyFill="0" applyBorder="0" applyAlignment="0" applyProtection="0"/>
    <xf numFmtId="0" fontId="2" fillId="0" borderId="0"/>
    <xf numFmtId="0" fontId="18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11" fillId="0" borderId="0" xfId="1" applyFont="1"/>
    <xf numFmtId="0" fontId="1" fillId="0" borderId="0" xfId="1"/>
    <xf numFmtId="0" fontId="12" fillId="0" borderId="0" xfId="1" applyFont="1"/>
    <xf numFmtId="0" fontId="13" fillId="2" borderId="1" xfId="1" applyFont="1" applyFill="1" applyBorder="1"/>
    <xf numFmtId="0" fontId="13" fillId="3" borderId="1" xfId="1" applyFont="1" applyFill="1" applyBorder="1"/>
    <xf numFmtId="0" fontId="13" fillId="0" borderId="0" xfId="1" applyFont="1"/>
    <xf numFmtId="0" fontId="1" fillId="4" borderId="1" xfId="1" applyFill="1" applyBorder="1"/>
    <xf numFmtId="0" fontId="12" fillId="4" borderId="1" xfId="1" applyFont="1" applyFill="1" applyBorder="1"/>
    <xf numFmtId="9" fontId="1" fillId="4" borderId="1" xfId="1" applyNumberFormat="1" applyFill="1" applyBorder="1"/>
    <xf numFmtId="11" fontId="1" fillId="4" borderId="1" xfId="1" applyNumberFormat="1" applyFill="1" applyBorder="1"/>
    <xf numFmtId="0" fontId="14" fillId="0" borderId="0" xfId="1" applyFont="1"/>
    <xf numFmtId="0" fontId="1" fillId="0" borderId="1" xfId="1" applyBorder="1"/>
    <xf numFmtId="0" fontId="12" fillId="0" borderId="1" xfId="1" applyFont="1" applyBorder="1"/>
    <xf numFmtId="9" fontId="1" fillId="0" borderId="1" xfId="1" applyNumberFormat="1" applyBorder="1"/>
    <xf numFmtId="11" fontId="1" fillId="0" borderId="1" xfId="1" applyNumberFormat="1" applyBorder="1"/>
    <xf numFmtId="0" fontId="13" fillId="5" borderId="1" xfId="1" applyFont="1" applyFill="1" applyBorder="1"/>
    <xf numFmtId="0" fontId="12" fillId="5" borderId="1" xfId="1" applyFont="1" applyFill="1" applyBorder="1"/>
    <xf numFmtId="9" fontId="13" fillId="5" borderId="1" xfId="1" applyNumberFormat="1" applyFont="1" applyFill="1" applyBorder="1"/>
    <xf numFmtId="11" fontId="13" fillId="5" borderId="1" xfId="1" applyNumberFormat="1" applyFont="1" applyFill="1" applyBorder="1"/>
    <xf numFmtId="0" fontId="13" fillId="6" borderId="1" xfId="1" applyFont="1" applyFill="1" applyBorder="1"/>
    <xf numFmtId="0" fontId="12" fillId="6" borderId="1" xfId="1" applyFont="1" applyFill="1" applyBorder="1"/>
    <xf numFmtId="0" fontId="13" fillId="7" borderId="1" xfId="2" applyFont="1" applyFill="1" applyBorder="1"/>
    <xf numFmtId="0" fontId="13" fillId="7" borderId="1" xfId="1" applyFont="1" applyFill="1" applyBorder="1"/>
    <xf numFmtId="0" fontId="16" fillId="7" borderId="1" xfId="1" applyFont="1" applyFill="1" applyBorder="1"/>
    <xf numFmtId="0" fontId="12" fillId="7" borderId="1" xfId="1" applyFont="1" applyFill="1" applyBorder="1"/>
    <xf numFmtId="9" fontId="13" fillId="7" borderId="1" xfId="1" applyNumberFormat="1" applyFont="1" applyFill="1" applyBorder="1"/>
    <xf numFmtId="11" fontId="13" fillId="7" borderId="1" xfId="1" applyNumberFormat="1" applyFont="1" applyFill="1" applyBorder="1"/>
    <xf numFmtId="9" fontId="13" fillId="6" borderId="1" xfId="1" applyNumberFormat="1" applyFont="1" applyFill="1" applyBorder="1"/>
    <xf numFmtId="11" fontId="13" fillId="6" borderId="1" xfId="1" applyNumberFormat="1" applyFont="1" applyFill="1" applyBorder="1"/>
    <xf numFmtId="0" fontId="13" fillId="0" borderId="1" xfId="1" applyFont="1" applyBorder="1"/>
    <xf numFmtId="0" fontId="17" fillId="0" borderId="0" xfId="3" applyFont="1"/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3" fillId="2" borderId="1" xfId="1" applyFont="1" applyFill="1" applyBorder="1" applyAlignment="1">
      <alignment horizontal="center"/>
    </xf>
    <xf numFmtId="0" fontId="1" fillId="4" borderId="1" xfId="1" applyFill="1" applyBorder="1" applyAlignment="1">
      <alignment horizontal="center"/>
    </xf>
    <xf numFmtId="0" fontId="1" fillId="0" borderId="1" xfId="1" applyBorder="1" applyAlignment="1">
      <alignment horizontal="center"/>
    </xf>
    <xf numFmtId="0" fontId="13" fillId="5" borderId="1" xfId="1" applyFont="1" applyFill="1" applyBorder="1" applyAlignment="1">
      <alignment horizontal="center"/>
    </xf>
    <xf numFmtId="0" fontId="13" fillId="6" borderId="1" xfId="1" applyFont="1" applyFill="1" applyBorder="1" applyAlignment="1">
      <alignment horizontal="center"/>
    </xf>
    <xf numFmtId="0" fontId="13" fillId="7" borderId="1" xfId="1" applyFont="1" applyFill="1" applyBorder="1" applyAlignment="1">
      <alignment horizontal="center"/>
    </xf>
  </cellXfs>
  <cellStyles count="5">
    <cellStyle name="Hyperlink" xfId="2" builtinId="8"/>
    <cellStyle name="Hyperlink 2" xfId="4" xr:uid="{5166E0F9-0C99-407F-9899-B78C0B90DDB4}"/>
    <cellStyle name="Normal" xfId="0" builtinId="0"/>
    <cellStyle name="Normal 2" xfId="1" xr:uid="{CDD2755A-5DB5-444A-8C16-FC5AB89DDDBE}"/>
    <cellStyle name="Normal 3" xfId="3" xr:uid="{E8E30446-0CF5-4EDD-ACAA-54817B6AC056}"/>
  </cellStyles>
  <dxfs count="0"/>
  <tableStyles count="0" defaultTableStyle="TableStyleMedium2" defaultPivotStyle="PivotStyleLight16"/>
  <colors>
    <mruColors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83EC6-D7E4-4F98-AB59-B2D36D30F8BF}">
  <dimension ref="A1:K911"/>
  <sheetViews>
    <sheetView tabSelected="1" workbookViewId="0">
      <selection activeCell="C11" sqref="C11"/>
    </sheetView>
  </sheetViews>
  <sheetFormatPr baseColWidth="10" defaultColWidth="12.5" defaultRowHeight="16" x14ac:dyDescent="0.2"/>
  <cols>
    <col min="1" max="1" width="22.83203125" style="10" customWidth="1"/>
    <col min="2" max="2" width="12.5" style="42"/>
    <col min="3" max="3" width="67.5" style="10" customWidth="1"/>
    <col min="4" max="4" width="28.5" style="11" customWidth="1"/>
    <col min="5" max="9" width="12.5" style="10"/>
    <col min="10" max="10" width="53.1640625" style="10" customWidth="1"/>
    <col min="11" max="16384" width="12.5" style="10"/>
  </cols>
  <sheetData>
    <row r="1" spans="1:11" s="1" customFormat="1" ht="17" x14ac:dyDescent="0.2">
      <c r="A1" s="39" t="s">
        <v>0</v>
      </c>
      <c r="B1" s="40"/>
      <c r="D1" s="2"/>
    </row>
    <row r="2" spans="1:11" s="4" customFormat="1" ht="17" x14ac:dyDescent="0.2">
      <c r="A2" s="3"/>
      <c r="B2" s="41"/>
      <c r="D2" s="5"/>
    </row>
    <row r="3" spans="1:11" s="1" customFormat="1" x14ac:dyDescent="0.2">
      <c r="A3" s="1" t="s">
        <v>1</v>
      </c>
      <c r="B3" s="40"/>
      <c r="D3" s="6"/>
    </row>
    <row r="4" spans="1:11" s="1" customFormat="1" x14ac:dyDescent="0.2">
      <c r="A4" s="1" t="s">
        <v>2</v>
      </c>
      <c r="B4" s="40"/>
      <c r="D4" s="6"/>
    </row>
    <row r="5" spans="1:11" s="1" customFormat="1" x14ac:dyDescent="0.2">
      <c r="A5" s="7"/>
      <c r="B5" s="40"/>
      <c r="D5" s="2"/>
    </row>
    <row r="6" spans="1:11" s="1" customFormat="1" x14ac:dyDescent="0.2">
      <c r="A6" s="8" t="s">
        <v>3</v>
      </c>
      <c r="B6" s="40"/>
      <c r="D6" s="2"/>
    </row>
    <row r="7" spans="1:11" x14ac:dyDescent="0.2">
      <c r="A7" s="9" t="s">
        <v>4</v>
      </c>
    </row>
    <row r="8" spans="1:11" x14ac:dyDescent="0.2">
      <c r="A8" s="10" t="s">
        <v>5</v>
      </c>
    </row>
    <row r="10" spans="1:11" s="14" customFormat="1" x14ac:dyDescent="0.2">
      <c r="A10" s="12" t="s">
        <v>6</v>
      </c>
      <c r="B10" s="43" t="s">
        <v>7</v>
      </c>
      <c r="C10" s="12" t="s">
        <v>8</v>
      </c>
      <c r="D10" s="12" t="s">
        <v>9</v>
      </c>
      <c r="E10" s="12" t="s">
        <v>10</v>
      </c>
      <c r="F10" s="12" t="s">
        <v>11</v>
      </c>
      <c r="G10" s="12" t="s">
        <v>12</v>
      </c>
      <c r="H10" s="12" t="s">
        <v>13</v>
      </c>
      <c r="I10" s="12" t="s">
        <v>14</v>
      </c>
      <c r="J10" s="13" t="s">
        <v>15</v>
      </c>
    </row>
    <row r="11" spans="1:11" x14ac:dyDescent="0.2">
      <c r="A11" s="15" t="str">
        <f>HYPERLINK("https://www.ncbi.nlm.nih.gov/protein/XP_022101031.1?report=genbank&amp;log$=prottop&amp;blast_rank=875&amp;RID=DNNRD06A013","XP_022101031.1")</f>
        <v>XP_022101031.1</v>
      </c>
      <c r="B11" s="44">
        <v>108</v>
      </c>
      <c r="C11" s="15" t="s">
        <v>16</v>
      </c>
      <c r="D11" s="16" t="s">
        <v>17</v>
      </c>
      <c r="E11" s="15">
        <v>50.8</v>
      </c>
      <c r="F11" s="15">
        <v>50.8</v>
      </c>
      <c r="G11" s="17">
        <v>0.27</v>
      </c>
      <c r="H11" s="18">
        <v>2.0000000000000001E-4</v>
      </c>
      <c r="I11" s="15">
        <v>42.35</v>
      </c>
      <c r="J11" s="15" t="s">
        <v>18</v>
      </c>
      <c r="K11" s="19"/>
    </row>
    <row r="12" spans="1:11" x14ac:dyDescent="0.2">
      <c r="A12" s="20" t="str">
        <f>HYPERLINK("https://www.ncbi.nlm.nih.gov/protein/XP_022101032.1?report=genbank&amp;log$=prottop&amp;blast_rank=446&amp;RID=DNNRD06A013","XP_022101032.1")</f>
        <v>XP_022101032.1</v>
      </c>
      <c r="B12" s="45">
        <v>494</v>
      </c>
      <c r="C12" s="20" t="s">
        <v>19</v>
      </c>
      <c r="D12" s="21" t="s">
        <v>17</v>
      </c>
      <c r="E12" s="20">
        <v>135</v>
      </c>
      <c r="F12" s="20">
        <v>246</v>
      </c>
      <c r="G12" s="22">
        <v>0.71</v>
      </c>
      <c r="H12" s="23">
        <v>4.0000000000000002E-32</v>
      </c>
      <c r="I12" s="20">
        <v>38.770000000000003</v>
      </c>
      <c r="J12" s="20"/>
      <c r="K12" s="19"/>
    </row>
    <row r="13" spans="1:11" x14ac:dyDescent="0.2">
      <c r="A13" s="20" t="str">
        <f>HYPERLINK("https://www.ncbi.nlm.nih.gov/protein/XP_026909040.1?report=genbank&amp;log$=prottop&amp;blast_rank=333&amp;RID=DNNRD06A013","XP_026909040.1")</f>
        <v>XP_026909040.1</v>
      </c>
      <c r="B13" s="45">
        <v>236</v>
      </c>
      <c r="C13" s="20" t="s">
        <v>20</v>
      </c>
      <c r="D13" s="21" t="s">
        <v>21</v>
      </c>
      <c r="E13" s="20">
        <v>150</v>
      </c>
      <c r="F13" s="20">
        <v>150</v>
      </c>
      <c r="G13" s="22">
        <v>0.7</v>
      </c>
      <c r="H13" s="23">
        <v>3.9999999999999997E-40</v>
      </c>
      <c r="I13" s="20">
        <v>45.58</v>
      </c>
      <c r="J13" s="20"/>
      <c r="K13" s="19"/>
    </row>
    <row r="14" spans="1:11" x14ac:dyDescent="0.2">
      <c r="A14" s="20" t="str">
        <f>HYPERLINK("https://www.ncbi.nlm.nih.gov/protein/XP_034776023.1?report=genbank&amp;log$=prottop&amp;blast_rank=313&amp;RID=DNNRD06A013","XP_034776023.1")</f>
        <v>XP_034776023.1</v>
      </c>
      <c r="B14" s="45">
        <v>237</v>
      </c>
      <c r="C14" s="20" t="s">
        <v>22</v>
      </c>
      <c r="D14" s="21" t="s">
        <v>23</v>
      </c>
      <c r="E14" s="20">
        <v>151</v>
      </c>
      <c r="F14" s="20">
        <v>151</v>
      </c>
      <c r="G14" s="22">
        <v>0.7</v>
      </c>
      <c r="H14" s="23">
        <v>9.9999999999999993E-41</v>
      </c>
      <c r="I14" s="20">
        <v>46.46</v>
      </c>
      <c r="J14" s="20"/>
      <c r="K14" s="19"/>
    </row>
    <row r="15" spans="1:11" x14ac:dyDescent="0.2">
      <c r="A15" s="20" t="str">
        <f>HYPERLINK("https://www.ncbi.nlm.nih.gov/protein/XP_033863040.1?report=genbank&amp;log$=prottop&amp;blast_rank=420&amp;RID=DNNRD06A013","XP_033863040.1")</f>
        <v>XP_033863040.1</v>
      </c>
      <c r="B15" s="45">
        <v>282</v>
      </c>
      <c r="C15" s="20" t="s">
        <v>24</v>
      </c>
      <c r="D15" s="21" t="s">
        <v>23</v>
      </c>
      <c r="E15" s="20">
        <v>142</v>
      </c>
      <c r="F15" s="20">
        <v>142</v>
      </c>
      <c r="G15" s="22">
        <v>0.71</v>
      </c>
      <c r="H15" s="23">
        <v>9.9999999999999994E-37</v>
      </c>
      <c r="I15" s="20">
        <v>45.61</v>
      </c>
      <c r="J15" s="20"/>
      <c r="K15" s="19"/>
    </row>
    <row r="16" spans="1:11" x14ac:dyDescent="0.2">
      <c r="A16" s="20" t="str">
        <f>HYPERLINK("https://www.ncbi.nlm.nih.gov/protein/XP_034766988.1?report=genbank&amp;log$=prottop&amp;blast_rank=497&amp;RID=DNNRD06A013","XP_034766988.1")</f>
        <v>XP_034766988.1</v>
      </c>
      <c r="B16" s="45">
        <v>277</v>
      </c>
      <c r="C16" s="20" t="s">
        <v>25</v>
      </c>
      <c r="D16" s="21" t="s">
        <v>23</v>
      </c>
      <c r="E16" s="20">
        <v>104</v>
      </c>
      <c r="F16" s="20">
        <v>104</v>
      </c>
      <c r="G16" s="22">
        <v>0.71</v>
      </c>
      <c r="H16" s="23">
        <v>2.9999999999999999E-22</v>
      </c>
      <c r="I16" s="20">
        <v>38.200000000000003</v>
      </c>
      <c r="J16" s="20"/>
    </row>
    <row r="17" spans="1:10" x14ac:dyDescent="0.2">
      <c r="A17" s="20" t="str">
        <f>HYPERLINK("https://www.ncbi.nlm.nih.gov/protein/XP_034766989.1?report=genbank&amp;log$=prottop&amp;blast_rank=493&amp;RID=DNNRD06A013","XP_034766989.1")</f>
        <v>XP_034766989.1</v>
      </c>
      <c r="B17" s="45">
        <v>252</v>
      </c>
      <c r="C17" s="20" t="s">
        <v>26</v>
      </c>
      <c r="D17" s="21" t="s">
        <v>23</v>
      </c>
      <c r="E17" s="20">
        <v>104</v>
      </c>
      <c r="F17" s="20">
        <v>104</v>
      </c>
      <c r="G17" s="22">
        <v>0.71</v>
      </c>
      <c r="H17" s="23">
        <v>1E-22</v>
      </c>
      <c r="I17" s="20">
        <v>38.200000000000003</v>
      </c>
      <c r="J17" s="20"/>
    </row>
    <row r="18" spans="1:10" x14ac:dyDescent="0.2">
      <c r="A18" s="20" t="str">
        <f>HYPERLINK("https://www.ncbi.nlm.nih.gov/protein/XP_011053343.1?report=genbank&amp;log$=prottop&amp;blast_rank=888&amp;RID=DNNRD06A013","XP_011053343.1")</f>
        <v>XP_011053343.1</v>
      </c>
      <c r="B18" s="45">
        <v>326</v>
      </c>
      <c r="C18" s="20" t="s">
        <v>27</v>
      </c>
      <c r="D18" s="21" t="s">
        <v>28</v>
      </c>
      <c r="E18" s="20">
        <v>50.4</v>
      </c>
      <c r="F18" s="20">
        <v>50.4</v>
      </c>
      <c r="G18" s="22">
        <v>0.46</v>
      </c>
      <c r="H18" s="20">
        <v>3.0000000000000001E-3</v>
      </c>
      <c r="I18" s="20">
        <v>31.29</v>
      </c>
      <c r="J18" s="20"/>
    </row>
    <row r="19" spans="1:10" x14ac:dyDescent="0.2">
      <c r="A19" s="20" t="str">
        <f>HYPERLINK("https://www.ncbi.nlm.nih.gov/protein/XP_015749504.1?report=genbank&amp;log$=prottop&amp;blast_rank=733&amp;RID=DNNRD06A013","XP_015749504.1")</f>
        <v>XP_015749504.1</v>
      </c>
      <c r="B19" s="45">
        <v>169</v>
      </c>
      <c r="C19" s="20" t="s">
        <v>29</v>
      </c>
      <c r="D19" s="21" t="s">
        <v>30</v>
      </c>
      <c r="E19" s="20">
        <v>65.5</v>
      </c>
      <c r="F19" s="20">
        <v>65.5</v>
      </c>
      <c r="G19" s="22">
        <v>0.32</v>
      </c>
      <c r="H19" s="23">
        <v>6E-9</v>
      </c>
      <c r="I19" s="20">
        <v>33.04</v>
      </c>
      <c r="J19" s="20"/>
    </row>
    <row r="20" spans="1:10" x14ac:dyDescent="0.2">
      <c r="A20" s="20" t="str">
        <f>HYPERLINK("https://www.ncbi.nlm.nih.gov/protein/XP_044168884.1?report=genbank&amp;log$=prottop&amp;blast_rank=731&amp;RID=DNNRD06A013","XP_044168884.1")</f>
        <v>XP_044168884.1</v>
      </c>
      <c r="B20" s="45">
        <v>228</v>
      </c>
      <c r="C20" s="20" t="s">
        <v>31</v>
      </c>
      <c r="D20" s="21" t="s">
        <v>32</v>
      </c>
      <c r="E20" s="20">
        <v>66.599999999999994</v>
      </c>
      <c r="F20" s="20">
        <v>66.599999999999994</v>
      </c>
      <c r="G20" s="22">
        <v>0.64</v>
      </c>
      <c r="H20" s="23">
        <v>5.0000000000000001E-9</v>
      </c>
      <c r="I20" s="20">
        <v>29.05</v>
      </c>
      <c r="J20" s="20"/>
    </row>
    <row r="21" spans="1:10" x14ac:dyDescent="0.2">
      <c r="A21" s="20" t="str">
        <f>HYPERLINK("https://www.ncbi.nlm.nih.gov/protein/XP_044168882.1?report=genbank&amp;log$=prottop&amp;blast_rank=783&amp;RID=DNNRD06A013","XP_044168882.1")</f>
        <v>XP_044168882.1</v>
      </c>
      <c r="B21" s="45">
        <v>230</v>
      </c>
      <c r="C21" s="20" t="s">
        <v>31</v>
      </c>
      <c r="D21" s="21" t="s">
        <v>32</v>
      </c>
      <c r="E21" s="20">
        <v>59.7</v>
      </c>
      <c r="F21" s="20">
        <v>59.7</v>
      </c>
      <c r="G21" s="22">
        <v>0.64</v>
      </c>
      <c r="H21" s="23">
        <v>9.9999999999999995E-7</v>
      </c>
      <c r="I21" s="20">
        <v>28.44</v>
      </c>
      <c r="J21" s="20"/>
    </row>
    <row r="22" spans="1:10" x14ac:dyDescent="0.2">
      <c r="A22" s="20" t="str">
        <f>HYPERLINK("https://www.ncbi.nlm.nih.gov/protein/XP_029186795.2?report=genbank&amp;log$=prottop&amp;blast_rank=522&amp;RID=DNNRD06A013","XP_029186795.2")</f>
        <v>XP_029186795.2</v>
      </c>
      <c r="B22" s="45">
        <v>289</v>
      </c>
      <c r="C22" s="20" t="s">
        <v>31</v>
      </c>
      <c r="D22" s="21" t="s">
        <v>32</v>
      </c>
      <c r="E22" s="20">
        <v>96.3</v>
      </c>
      <c r="F22" s="20">
        <v>96.3</v>
      </c>
      <c r="G22" s="22">
        <v>0.68</v>
      </c>
      <c r="H22" s="23">
        <v>2.9999999999999999E-19</v>
      </c>
      <c r="I22" s="20">
        <v>32.299999999999997</v>
      </c>
      <c r="J22" s="20"/>
    </row>
    <row r="23" spans="1:10" x14ac:dyDescent="0.2">
      <c r="A23" s="20" t="str">
        <f>HYPERLINK("https://www.ncbi.nlm.nih.gov/protein/XP_031552736.1?report=genbank&amp;log$=prottop&amp;blast_rank=460&amp;RID=DNNRD06A013","XP_031552736.1")</f>
        <v>XP_031552736.1</v>
      </c>
      <c r="B23" s="45">
        <v>302</v>
      </c>
      <c r="C23" s="20" t="s">
        <v>33</v>
      </c>
      <c r="D23" s="21" t="s">
        <v>34</v>
      </c>
      <c r="E23" s="20">
        <v>123</v>
      </c>
      <c r="F23" s="20">
        <v>123</v>
      </c>
      <c r="G23" s="22">
        <v>0.65</v>
      </c>
      <c r="H23" s="23">
        <v>3.0000000000000003E-29</v>
      </c>
      <c r="I23" s="20">
        <v>39.82</v>
      </c>
      <c r="J23" s="20"/>
    </row>
    <row r="24" spans="1:10" x14ac:dyDescent="0.2">
      <c r="A24" s="20" t="str">
        <f>HYPERLINK("https://www.ncbi.nlm.nih.gov/protein/XP_001647854.2?report=genbank&amp;log$=prottop&amp;blast_rank=644&amp;RID=DNNRD06A013","XP_001647854.2")</f>
        <v>XP_001647854.2</v>
      </c>
      <c r="B24" s="45">
        <v>320</v>
      </c>
      <c r="C24" s="20" t="s">
        <v>35</v>
      </c>
      <c r="D24" s="21" t="s">
        <v>36</v>
      </c>
      <c r="E24" s="20">
        <v>77.400000000000006</v>
      </c>
      <c r="F24" s="20">
        <v>77.400000000000006</v>
      </c>
      <c r="G24" s="22">
        <v>0.48</v>
      </c>
      <c r="H24" s="23">
        <v>3.0000000000000001E-12</v>
      </c>
      <c r="I24" s="20">
        <v>39.61</v>
      </c>
      <c r="J24" s="20"/>
    </row>
    <row r="25" spans="1:10" x14ac:dyDescent="0.2">
      <c r="A25" s="20" t="str">
        <f>HYPERLINK("https://www.ncbi.nlm.nih.gov/protein/XP_029734080.1?report=genbank&amp;log$=prottop&amp;blast_rank=527&amp;RID=DNNRD06A013","XP_029734080.1")</f>
        <v>XP_029734080.1</v>
      </c>
      <c r="B25" s="45">
        <v>220</v>
      </c>
      <c r="C25" s="20" t="s">
        <v>37</v>
      </c>
      <c r="D25" s="21" t="s">
        <v>38</v>
      </c>
      <c r="E25" s="20">
        <v>93.2</v>
      </c>
      <c r="F25" s="20">
        <v>93.2</v>
      </c>
      <c r="G25" s="22">
        <v>0.63</v>
      </c>
      <c r="H25" s="23">
        <v>1.0000000000000001E-18</v>
      </c>
      <c r="I25" s="20">
        <v>35.47</v>
      </c>
      <c r="J25" s="20"/>
    </row>
    <row r="26" spans="1:10" x14ac:dyDescent="0.2">
      <c r="A26" s="20" t="str">
        <f>HYPERLINK("https://www.ncbi.nlm.nih.gov/protein/XP_029715337.1?report=genbank&amp;log$=prottop&amp;blast_rank=516&amp;RID=DNNRD06A013","XP_029715337.1")</f>
        <v>XP_029715337.1</v>
      </c>
      <c r="B26" s="45">
        <v>221</v>
      </c>
      <c r="C26" s="20" t="s">
        <v>37</v>
      </c>
      <c r="D26" s="21" t="s">
        <v>38</v>
      </c>
      <c r="E26" s="20">
        <v>96.7</v>
      </c>
      <c r="F26" s="20">
        <v>96.7</v>
      </c>
      <c r="G26" s="22">
        <v>0.63</v>
      </c>
      <c r="H26" s="23">
        <v>6.0000000000000006E-20</v>
      </c>
      <c r="I26" s="20">
        <v>36.270000000000003</v>
      </c>
      <c r="J26" s="20"/>
    </row>
    <row r="27" spans="1:10" x14ac:dyDescent="0.2">
      <c r="A27" s="20" t="str">
        <f>HYPERLINK("https://www.ncbi.nlm.nih.gov/protein/XP_029715338.1?report=genbank&amp;log$=prottop&amp;blast_rank=519&amp;RID=DNNRD06A013","XP_029715338.1")</f>
        <v>XP_029715338.1</v>
      </c>
      <c r="B27" s="45">
        <v>221</v>
      </c>
      <c r="C27" s="20" t="s">
        <v>37</v>
      </c>
      <c r="D27" s="21" t="s">
        <v>38</v>
      </c>
      <c r="E27" s="20">
        <v>96.3</v>
      </c>
      <c r="F27" s="20">
        <v>96.3</v>
      </c>
      <c r="G27" s="22">
        <v>0.63</v>
      </c>
      <c r="H27" s="23">
        <v>9.0000000000000003E-20</v>
      </c>
      <c r="I27" s="20">
        <v>36.270000000000003</v>
      </c>
      <c r="J27" s="20"/>
    </row>
    <row r="28" spans="1:10" x14ac:dyDescent="0.2">
      <c r="A28" s="20" t="str">
        <f>HYPERLINK("https://www.ncbi.nlm.nih.gov/protein/XP_029736024.1?report=genbank&amp;log$=prottop&amp;blast_rank=637&amp;RID=DNNRD06A013","XP_029736024.1")</f>
        <v>XP_029736024.1</v>
      </c>
      <c r="B28" s="45">
        <v>292</v>
      </c>
      <c r="C28" s="20" t="s">
        <v>37</v>
      </c>
      <c r="D28" s="21" t="s">
        <v>38</v>
      </c>
      <c r="E28" s="20">
        <v>77.8</v>
      </c>
      <c r="F28" s="20">
        <v>77.8</v>
      </c>
      <c r="G28" s="22">
        <v>0.52</v>
      </c>
      <c r="H28" s="23">
        <v>9.9999999999999998E-13</v>
      </c>
      <c r="I28" s="20">
        <v>36.97</v>
      </c>
      <c r="J28" s="20"/>
    </row>
    <row r="29" spans="1:10" x14ac:dyDescent="0.2">
      <c r="A29" s="20" t="str">
        <f>HYPERLINK("https://www.ncbi.nlm.nih.gov/protein/XP_019931946.2?report=genbank&amp;log$=prottop&amp;blast_rank=641&amp;RID=DNNRD06A013","XP_019931946.2")</f>
        <v>XP_019931946.2</v>
      </c>
      <c r="B29" s="45">
        <v>325</v>
      </c>
      <c r="C29" s="20" t="s">
        <v>39</v>
      </c>
      <c r="D29" s="21" t="s">
        <v>38</v>
      </c>
      <c r="E29" s="20">
        <v>77.8</v>
      </c>
      <c r="F29" s="20">
        <v>77.8</v>
      </c>
      <c r="G29" s="22">
        <v>0.52</v>
      </c>
      <c r="H29" s="23">
        <v>2E-12</v>
      </c>
      <c r="I29" s="20">
        <v>36.97</v>
      </c>
      <c r="J29" s="20"/>
    </row>
    <row r="30" spans="1:10" x14ac:dyDescent="0.2">
      <c r="A30" s="20" t="str">
        <f>HYPERLINK("https://www.ncbi.nlm.nih.gov/protein/XP_029734460.1?report=genbank&amp;log$=prottop&amp;blast_rank=633&amp;RID=DNNRD06A013","XP_029734460.1")</f>
        <v>XP_029734460.1</v>
      </c>
      <c r="B30" s="45">
        <v>330</v>
      </c>
      <c r="C30" s="20" t="s">
        <v>39</v>
      </c>
      <c r="D30" s="21" t="s">
        <v>38</v>
      </c>
      <c r="E30" s="20">
        <v>78.599999999999994</v>
      </c>
      <c r="F30" s="20">
        <v>78.599999999999994</v>
      </c>
      <c r="G30" s="22">
        <v>0.52</v>
      </c>
      <c r="H30" s="23">
        <v>9.9999999999999998E-13</v>
      </c>
      <c r="I30" s="20">
        <v>37.58</v>
      </c>
      <c r="J30" s="20"/>
    </row>
    <row r="31" spans="1:10" x14ac:dyDescent="0.2">
      <c r="A31" s="20" t="str">
        <f>HYPERLINK("https://www.ncbi.nlm.nih.gov/protein/XP_019875105.1?report=genbank&amp;log$=prottop&amp;blast_rank=517&amp;RID=DNNRD06A013","XP_019875105.1")</f>
        <v>XP_019875105.1</v>
      </c>
      <c r="B31" s="45">
        <v>277</v>
      </c>
      <c r="C31" s="20" t="s">
        <v>40</v>
      </c>
      <c r="D31" s="21" t="s">
        <v>41</v>
      </c>
      <c r="E31" s="20">
        <v>97.8</v>
      </c>
      <c r="F31" s="20">
        <v>97.8</v>
      </c>
      <c r="G31" s="22">
        <v>0.69</v>
      </c>
      <c r="H31" s="23">
        <v>7.0000000000000001E-20</v>
      </c>
      <c r="I31" s="20">
        <v>27.31</v>
      </c>
      <c r="J31" s="20"/>
    </row>
    <row r="32" spans="1:10" x14ac:dyDescent="0.2">
      <c r="A32" s="20" t="str">
        <f>HYPERLINK("https://www.ncbi.nlm.nih.gov/protein/XP_025837013.1?report=genbank&amp;log$=prottop&amp;blast_rank=544&amp;RID=DNNRD06A013","XP_025837013.1")</f>
        <v>XP_025837013.1</v>
      </c>
      <c r="B32" s="45">
        <v>365</v>
      </c>
      <c r="C32" s="20" t="s">
        <v>42</v>
      </c>
      <c r="D32" s="21" t="s">
        <v>43</v>
      </c>
      <c r="E32" s="20">
        <v>91.3</v>
      </c>
      <c r="F32" s="20">
        <v>91.3</v>
      </c>
      <c r="G32" s="22">
        <v>0.52</v>
      </c>
      <c r="H32" s="23">
        <v>6.0000000000000001E-17</v>
      </c>
      <c r="I32" s="20">
        <v>38.86</v>
      </c>
      <c r="J32" s="20"/>
    </row>
    <row r="33" spans="1:10" x14ac:dyDescent="0.2">
      <c r="A33" s="20" t="str">
        <f>HYPERLINK("https://www.ncbi.nlm.nih.gov/protein/XP_019665328.1?report=genbank&amp;log$=prottop&amp;blast_rank=285&amp;RID=DNNRD06A013","XP_019665328.1")</f>
        <v>XP_019665328.1</v>
      </c>
      <c r="B33" s="45">
        <v>236</v>
      </c>
      <c r="C33" s="20" t="s">
        <v>44</v>
      </c>
      <c r="D33" s="21" t="s">
        <v>45</v>
      </c>
      <c r="E33" s="20">
        <v>152</v>
      </c>
      <c r="F33" s="20">
        <v>152</v>
      </c>
      <c r="G33" s="22">
        <v>0.7</v>
      </c>
      <c r="H33" s="23">
        <v>4.9999999999999996E-41</v>
      </c>
      <c r="I33" s="20">
        <v>46.46</v>
      </c>
      <c r="J33" s="20"/>
    </row>
    <row r="34" spans="1:10" x14ac:dyDescent="0.2">
      <c r="A34" s="20" t="str">
        <f>HYPERLINK("https://www.ncbi.nlm.nih.gov/protein/XP_002926073.2?report=genbank&amp;log$=prottop&amp;blast_rank=85&amp;RID=DNNRD06A013","XP_002926073.2")</f>
        <v>XP_002926073.2</v>
      </c>
      <c r="B34" s="45">
        <v>314</v>
      </c>
      <c r="C34" s="20" t="s">
        <v>46</v>
      </c>
      <c r="D34" s="21" t="s">
        <v>45</v>
      </c>
      <c r="E34" s="20">
        <v>394</v>
      </c>
      <c r="F34" s="20">
        <v>394</v>
      </c>
      <c r="G34" s="22">
        <v>1</v>
      </c>
      <c r="H34" s="23">
        <v>1E-134</v>
      </c>
      <c r="I34" s="20">
        <v>81.209999999999994</v>
      </c>
      <c r="J34" s="20"/>
    </row>
    <row r="35" spans="1:10" x14ac:dyDescent="0.2">
      <c r="A35" s="20" t="str">
        <f>HYPERLINK("https://www.ncbi.nlm.nih.gov/protein/XP_043208023.1?report=genbank&amp;log$=prottop&amp;blast_rank=860&amp;RID=DNNRD06A013","XP_043208023.1")</f>
        <v>XP_043208023.1</v>
      </c>
      <c r="B35" s="45">
        <v>438</v>
      </c>
      <c r="C35" s="20" t="s">
        <v>47</v>
      </c>
      <c r="D35" s="21" t="s">
        <v>48</v>
      </c>
      <c r="E35" s="20">
        <v>55.5</v>
      </c>
      <c r="F35" s="20">
        <v>55.5</v>
      </c>
      <c r="G35" s="22">
        <v>0.32</v>
      </c>
      <c r="H35" s="23">
        <v>1E-4</v>
      </c>
      <c r="I35" s="20">
        <v>45.63</v>
      </c>
      <c r="J35" s="20"/>
    </row>
    <row r="36" spans="1:10" x14ac:dyDescent="0.2">
      <c r="A36" s="20" t="str">
        <f>HYPERLINK("https://www.ncbi.nlm.nih.gov/protein/XP_043208026.1?report=genbank&amp;log$=prottop&amp;blast_rank=863&amp;RID=DNNRD06A013","XP_043208026.1")</f>
        <v>XP_043208026.1</v>
      </c>
      <c r="B36" s="45">
        <v>421</v>
      </c>
      <c r="C36" s="20" t="s">
        <v>49</v>
      </c>
      <c r="D36" s="21" t="s">
        <v>48</v>
      </c>
      <c r="E36" s="20">
        <v>55.5</v>
      </c>
      <c r="F36" s="20">
        <v>55.5</v>
      </c>
      <c r="G36" s="22">
        <v>0.32</v>
      </c>
      <c r="H36" s="23">
        <v>1E-4</v>
      </c>
      <c r="I36" s="20">
        <v>45.63</v>
      </c>
      <c r="J36" s="20"/>
    </row>
    <row r="37" spans="1:10" x14ac:dyDescent="0.2">
      <c r="A37" s="20" t="str">
        <f>HYPERLINK("https://www.ncbi.nlm.nih.gov/protein/XP_043242789.1?report=genbank&amp;log$=prottop&amp;blast_rank=861&amp;RID=DNNRD06A013","XP_043242789.1")</f>
        <v>XP_043242789.1</v>
      </c>
      <c r="B37" s="45">
        <v>437</v>
      </c>
      <c r="C37" s="20" t="s">
        <v>50</v>
      </c>
      <c r="D37" s="21" t="s">
        <v>48</v>
      </c>
      <c r="E37" s="20">
        <v>55.5</v>
      </c>
      <c r="F37" s="20">
        <v>55.5</v>
      </c>
      <c r="G37" s="22">
        <v>0.37</v>
      </c>
      <c r="H37" s="23">
        <v>1E-4</v>
      </c>
      <c r="I37" s="20">
        <v>41.6</v>
      </c>
      <c r="J37" s="20"/>
    </row>
    <row r="38" spans="1:10" x14ac:dyDescent="0.2">
      <c r="A38" s="20" t="str">
        <f>HYPERLINK("https://www.ncbi.nlm.nih.gov/protein/XP_013199216.1?report=genbank&amp;log$=prottop&amp;blast_rank=573&amp;RID=DNNRD06A013","XP_013199216.1")</f>
        <v>XP_013199216.1</v>
      </c>
      <c r="B38" s="45">
        <v>274</v>
      </c>
      <c r="C38" s="20" t="s">
        <v>51</v>
      </c>
      <c r="D38" s="21" t="s">
        <v>52</v>
      </c>
      <c r="E38" s="20">
        <v>84</v>
      </c>
      <c r="F38" s="20">
        <v>84</v>
      </c>
      <c r="G38" s="22">
        <v>0.7</v>
      </c>
      <c r="H38" s="23">
        <v>8.0000000000000006E-15</v>
      </c>
      <c r="I38" s="20">
        <v>24.82</v>
      </c>
      <c r="J38" s="20"/>
    </row>
    <row r="39" spans="1:10" x14ac:dyDescent="0.2">
      <c r="A39" s="20" t="str">
        <f>HYPERLINK("https://www.ncbi.nlm.nih.gov/protein/XP_013194422.1?report=genbank&amp;log$=prottop&amp;blast_rank=702&amp;RID=DNNRD06A013","XP_013194422.1")</f>
        <v>XP_013194422.1</v>
      </c>
      <c r="B39" s="45">
        <v>370</v>
      </c>
      <c r="C39" s="20" t="s">
        <v>51</v>
      </c>
      <c r="D39" s="21" t="s">
        <v>52</v>
      </c>
      <c r="E39" s="20">
        <v>72</v>
      </c>
      <c r="F39" s="20">
        <v>125</v>
      </c>
      <c r="G39" s="22">
        <v>0.61</v>
      </c>
      <c r="H39" s="23">
        <v>3E-10</v>
      </c>
      <c r="I39" s="20">
        <v>38.17</v>
      </c>
      <c r="J39" s="20"/>
    </row>
    <row r="40" spans="1:10" x14ac:dyDescent="0.2">
      <c r="A40" s="15" t="str">
        <f>HYPERLINK("https://www.ncbi.nlm.nih.gov/protein/XP_033096606.1?report=genbank&amp;log$=prottop&amp;blast_rank=547&amp;RID=DNNRD06A013","XP_033096606.1")</f>
        <v>XP_033096606.1</v>
      </c>
      <c r="B40" s="44">
        <v>130</v>
      </c>
      <c r="C40" s="15" t="s">
        <v>53</v>
      </c>
      <c r="D40" s="16" t="s">
        <v>54</v>
      </c>
      <c r="E40" s="15">
        <v>85.5</v>
      </c>
      <c r="F40" s="15">
        <v>85.5</v>
      </c>
      <c r="G40" s="17">
        <v>0.35</v>
      </c>
      <c r="H40" s="18">
        <v>9.9999999999999998E-17</v>
      </c>
      <c r="I40" s="15">
        <v>39.130000000000003</v>
      </c>
      <c r="J40" s="15" t="s">
        <v>18</v>
      </c>
    </row>
    <row r="41" spans="1:10" x14ac:dyDescent="0.2">
      <c r="A41" s="20" t="str">
        <f>HYPERLINK("https://www.ncbi.nlm.nih.gov/protein/XP_033122286.1?report=genbank&amp;log$=prottop&amp;blast_rank=505&amp;RID=DNNRD06A013","XP_033122286.1")</f>
        <v>XP_033122286.1</v>
      </c>
      <c r="B41" s="45">
        <v>153</v>
      </c>
      <c r="C41" s="20" t="s">
        <v>53</v>
      </c>
      <c r="D41" s="21" t="s">
        <v>54</v>
      </c>
      <c r="E41" s="20">
        <v>99.4</v>
      </c>
      <c r="F41" s="20">
        <v>99.4</v>
      </c>
      <c r="G41" s="22">
        <v>0.49</v>
      </c>
      <c r="H41" s="23">
        <v>9.9999999999999991E-22</v>
      </c>
      <c r="I41" s="20">
        <v>40.26</v>
      </c>
      <c r="J41" s="20"/>
    </row>
    <row r="42" spans="1:10" x14ac:dyDescent="0.2">
      <c r="A42" s="20" t="str">
        <f>HYPERLINK("https://www.ncbi.nlm.nih.gov/protein/XP_033109561.1?report=genbank&amp;log$=prottop&amp;blast_rank=532&amp;RID=DNNRD06A013","XP_033109561.1")</f>
        <v>XP_033109561.1</v>
      </c>
      <c r="B42" s="45">
        <v>161</v>
      </c>
      <c r="C42" s="20" t="s">
        <v>53</v>
      </c>
      <c r="D42" s="21" t="s">
        <v>54</v>
      </c>
      <c r="E42" s="20">
        <v>90.5</v>
      </c>
      <c r="F42" s="20">
        <v>90.5</v>
      </c>
      <c r="G42" s="22">
        <v>0.37</v>
      </c>
      <c r="H42" s="23">
        <v>2.9999999999999998E-18</v>
      </c>
      <c r="I42" s="20">
        <v>38.659999999999997</v>
      </c>
      <c r="J42" s="20"/>
    </row>
    <row r="43" spans="1:10" x14ac:dyDescent="0.2">
      <c r="A43" s="20" t="str">
        <f>HYPERLINK("https://www.ncbi.nlm.nih.gov/protein/XP_033117156.1?report=genbank&amp;log$=prottop&amp;blast_rank=456&amp;RID=DNNRD06A013","XP_033117156.1")</f>
        <v>XP_033117156.1</v>
      </c>
      <c r="B43" s="45">
        <v>174</v>
      </c>
      <c r="C43" s="20" t="s">
        <v>53</v>
      </c>
      <c r="D43" s="21" t="s">
        <v>54</v>
      </c>
      <c r="E43" s="20">
        <v>121</v>
      </c>
      <c r="F43" s="20">
        <v>121</v>
      </c>
      <c r="G43" s="22">
        <v>0.54</v>
      </c>
      <c r="H43" s="23">
        <v>9.9999999999999994E-30</v>
      </c>
      <c r="I43" s="20">
        <v>41.18</v>
      </c>
      <c r="J43" s="20"/>
    </row>
    <row r="44" spans="1:10" x14ac:dyDescent="0.2">
      <c r="A44" s="20" t="str">
        <f>HYPERLINK("https://www.ncbi.nlm.nih.gov/protein/XP_033124319.1?report=genbank&amp;log$=prottop&amp;blast_rank=465&amp;RID=DNNRD06A013","XP_033124319.1")</f>
        <v>XP_033124319.1</v>
      </c>
      <c r="B44" s="45">
        <v>189</v>
      </c>
      <c r="C44" s="20" t="s">
        <v>53</v>
      </c>
      <c r="D44" s="21" t="s">
        <v>54</v>
      </c>
      <c r="E44" s="20">
        <v>117</v>
      </c>
      <c r="F44" s="20">
        <v>117</v>
      </c>
      <c r="G44" s="22">
        <v>0.54</v>
      </c>
      <c r="H44" s="23">
        <v>6.9999999999999999E-28</v>
      </c>
      <c r="I44" s="20">
        <v>40</v>
      </c>
      <c r="J44" s="20"/>
    </row>
    <row r="45" spans="1:10" x14ac:dyDescent="0.2">
      <c r="A45" s="20" t="str">
        <f>HYPERLINK("https://www.ncbi.nlm.nih.gov/protein/XP_033100763.1?report=genbank&amp;log$=prottop&amp;blast_rank=447&amp;RID=DNNRD06A013","XP_033100763.1")</f>
        <v>XP_033100763.1</v>
      </c>
      <c r="B45" s="45">
        <v>207</v>
      </c>
      <c r="C45" s="20" t="s">
        <v>53</v>
      </c>
      <c r="D45" s="21" t="s">
        <v>54</v>
      </c>
      <c r="E45" s="20">
        <v>127</v>
      </c>
      <c r="F45" s="20">
        <v>127</v>
      </c>
      <c r="G45" s="22">
        <v>0.65</v>
      </c>
      <c r="H45" s="23">
        <v>8.0000000000000004E-32</v>
      </c>
      <c r="I45" s="20">
        <v>39.61</v>
      </c>
      <c r="J45" s="20"/>
    </row>
    <row r="46" spans="1:10" x14ac:dyDescent="0.2">
      <c r="A46" s="20" t="str">
        <f>HYPERLINK("https://www.ncbi.nlm.nih.gov/protein/XP_033105102.1?report=genbank&amp;log$=prottop&amp;blast_rank=454&amp;RID=DNNRD06A013","XP_033105102.1")</f>
        <v>XP_033105102.1</v>
      </c>
      <c r="B46" s="45">
        <v>211</v>
      </c>
      <c r="C46" s="20" t="s">
        <v>53</v>
      </c>
      <c r="D46" s="21" t="s">
        <v>54</v>
      </c>
      <c r="E46" s="20">
        <v>122</v>
      </c>
      <c r="F46" s="20">
        <v>122</v>
      </c>
      <c r="G46" s="22">
        <v>0.65</v>
      </c>
      <c r="H46" s="23">
        <v>7.0000000000000006E-30</v>
      </c>
      <c r="I46" s="20">
        <v>38.76</v>
      </c>
      <c r="J46" s="20"/>
    </row>
    <row r="47" spans="1:10" x14ac:dyDescent="0.2">
      <c r="A47" s="20" t="str">
        <f>HYPERLINK("https://www.ncbi.nlm.nih.gov/protein/XP_033097636.1?report=genbank&amp;log$=prottop&amp;blast_rank=327&amp;RID=DNNRD06A013","XP_033097636.1")</f>
        <v>XP_033097636.1</v>
      </c>
      <c r="B47" s="45">
        <v>230</v>
      </c>
      <c r="C47" s="20" t="s">
        <v>53</v>
      </c>
      <c r="D47" s="21" t="s">
        <v>54</v>
      </c>
      <c r="E47" s="20">
        <v>150</v>
      </c>
      <c r="F47" s="20">
        <v>150</v>
      </c>
      <c r="G47" s="22">
        <v>0.71</v>
      </c>
      <c r="H47" s="23">
        <v>1.9999999999999999E-40</v>
      </c>
      <c r="I47" s="20">
        <v>40.619999999999997</v>
      </c>
      <c r="J47" s="20"/>
    </row>
    <row r="48" spans="1:10" x14ac:dyDescent="0.2">
      <c r="A48" s="20" t="str">
        <f>HYPERLINK("https://www.ncbi.nlm.nih.gov/protein/XP_033113552.1?report=genbank&amp;log$=prottop&amp;blast_rank=290&amp;RID=DNNRD06A013","XP_033113552.1")</f>
        <v>XP_033113552.1</v>
      </c>
      <c r="B48" s="45">
        <v>238</v>
      </c>
      <c r="C48" s="20" t="s">
        <v>53</v>
      </c>
      <c r="D48" s="21" t="s">
        <v>54</v>
      </c>
      <c r="E48" s="20">
        <v>152</v>
      </c>
      <c r="F48" s="20">
        <v>152</v>
      </c>
      <c r="G48" s="22">
        <v>0.71</v>
      </c>
      <c r="H48" s="23">
        <v>5.9999999999999998E-41</v>
      </c>
      <c r="I48" s="20">
        <v>41.52</v>
      </c>
      <c r="J48" s="20"/>
    </row>
    <row r="49" spans="1:10" x14ac:dyDescent="0.2">
      <c r="A49" s="20" t="str">
        <f>HYPERLINK("https://www.ncbi.nlm.nih.gov/protein/XP_033110434.1?report=genbank&amp;log$=prottop&amp;blast_rank=396&amp;RID=DNNRD06A013","XP_033110434.1")</f>
        <v>XP_033110434.1</v>
      </c>
      <c r="B49" s="45">
        <v>245</v>
      </c>
      <c r="C49" s="20" t="s">
        <v>53</v>
      </c>
      <c r="D49" s="21" t="s">
        <v>54</v>
      </c>
      <c r="E49" s="20">
        <v>146</v>
      </c>
      <c r="F49" s="20">
        <v>146</v>
      </c>
      <c r="G49" s="22">
        <v>0.71</v>
      </c>
      <c r="H49" s="23">
        <v>1.9999999999999999E-38</v>
      </c>
      <c r="I49" s="20">
        <v>39.29</v>
      </c>
      <c r="J49" s="20"/>
    </row>
    <row r="50" spans="1:10" x14ac:dyDescent="0.2">
      <c r="A50" s="20" t="str">
        <f>HYPERLINK("https://www.ncbi.nlm.nih.gov/protein/XP_033096023.1?report=genbank&amp;log$=prottop&amp;blast_rank=436&amp;RID=DNNRD06A013","XP_033096023.1")</f>
        <v>XP_033096023.1</v>
      </c>
      <c r="B50" s="45">
        <v>347</v>
      </c>
      <c r="C50" s="20" t="s">
        <v>53</v>
      </c>
      <c r="D50" s="21" t="s">
        <v>54</v>
      </c>
      <c r="E50" s="20">
        <v>137</v>
      </c>
      <c r="F50" s="20">
        <v>137</v>
      </c>
      <c r="G50" s="22">
        <v>0.71</v>
      </c>
      <c r="H50" s="23">
        <v>3E-34</v>
      </c>
      <c r="I50" s="20">
        <v>34.21</v>
      </c>
      <c r="J50" s="20"/>
    </row>
    <row r="51" spans="1:10" x14ac:dyDescent="0.2">
      <c r="A51" s="15" t="str">
        <f>HYPERLINK("https://www.ncbi.nlm.nih.gov/protein/XP_033115441.1?report=genbank&amp;log$=prottop&amp;blast_rank=737&amp;RID=DNNRD06A013","XP_033115441.1")</f>
        <v>XP_033115441.1</v>
      </c>
      <c r="B51" s="44">
        <v>116</v>
      </c>
      <c r="C51" s="15" t="s">
        <v>55</v>
      </c>
      <c r="D51" s="16" t="s">
        <v>54</v>
      </c>
      <c r="E51" s="15">
        <v>63.5</v>
      </c>
      <c r="F51" s="15">
        <v>63.5</v>
      </c>
      <c r="G51" s="17">
        <v>0.28000000000000003</v>
      </c>
      <c r="H51" s="18">
        <v>8.0000000000000005E-9</v>
      </c>
      <c r="I51" s="15">
        <v>40.450000000000003</v>
      </c>
      <c r="J51" s="15" t="s">
        <v>18</v>
      </c>
    </row>
    <row r="52" spans="1:10" x14ac:dyDescent="0.2">
      <c r="A52" s="20" t="str">
        <f>HYPERLINK("https://www.ncbi.nlm.nih.gov/protein/XP_003216926.1?report=genbank&amp;log$=prottop&amp;blast_rank=223&amp;RID=DNNRD06A013","XP_003216926.1")</f>
        <v>XP_003216926.1</v>
      </c>
      <c r="B52" s="45">
        <v>227</v>
      </c>
      <c r="C52" s="20" t="s">
        <v>56</v>
      </c>
      <c r="D52" s="21" t="s">
        <v>57</v>
      </c>
      <c r="E52" s="20">
        <v>158</v>
      </c>
      <c r="F52" s="20">
        <v>158</v>
      </c>
      <c r="G52" s="22">
        <v>0.71</v>
      </c>
      <c r="H52" s="23">
        <v>3E-43</v>
      </c>
      <c r="I52" s="20">
        <v>42.92</v>
      </c>
      <c r="J52" s="20"/>
    </row>
    <row r="53" spans="1:10" x14ac:dyDescent="0.2">
      <c r="A53" s="20" t="str">
        <f>HYPERLINK("https://www.ncbi.nlm.nih.gov/protein/XP_008103376.1?report=genbank&amp;log$=prottop&amp;blast_rank=204&amp;RID=DNNRD06A013","XP_008103376.1")</f>
        <v>XP_008103376.1</v>
      </c>
      <c r="B53" s="45">
        <v>329</v>
      </c>
      <c r="C53" s="20" t="s">
        <v>58</v>
      </c>
      <c r="D53" s="21" t="s">
        <v>57</v>
      </c>
      <c r="E53" s="20">
        <v>190</v>
      </c>
      <c r="F53" s="20">
        <v>190</v>
      </c>
      <c r="G53" s="22">
        <v>0.72</v>
      </c>
      <c r="H53" s="23">
        <v>2.0000000000000001E-54</v>
      </c>
      <c r="I53" s="20">
        <v>45.53</v>
      </c>
      <c r="J53" s="20"/>
    </row>
    <row r="54" spans="1:10" x14ac:dyDescent="0.2">
      <c r="A54" s="20" t="str">
        <f>HYPERLINK("https://www.ncbi.nlm.nih.gov/protein/XP_035785377.1?report=genbank&amp;log$=prottop&amp;blast_rank=602&amp;RID=DNNRD06A013","XP_035785377.1")</f>
        <v>XP_035785377.1</v>
      </c>
      <c r="B54" s="45">
        <v>379</v>
      </c>
      <c r="C54" s="20" t="s">
        <v>59</v>
      </c>
      <c r="D54" s="21" t="s">
        <v>60</v>
      </c>
      <c r="E54" s="20">
        <v>82</v>
      </c>
      <c r="F54" s="20">
        <v>82</v>
      </c>
      <c r="G54" s="22">
        <v>0.48</v>
      </c>
      <c r="H54" s="23">
        <v>1E-13</v>
      </c>
      <c r="I54" s="20">
        <v>39.1</v>
      </c>
      <c r="J54" s="20"/>
    </row>
    <row r="55" spans="1:10" x14ac:dyDescent="0.2">
      <c r="A55" s="20" t="str">
        <f>HYPERLINK("https://www.ncbi.nlm.nih.gov/protein/XP_040162576.1?report=genbank&amp;log$=prottop&amp;blast_rank=694&amp;RID=DNNRD06A013","XP_040162576.1")</f>
        <v>XP_040162576.1</v>
      </c>
      <c r="B55" s="45">
        <v>339</v>
      </c>
      <c r="C55" s="20" t="s">
        <v>61</v>
      </c>
      <c r="D55" s="21" t="s">
        <v>62</v>
      </c>
      <c r="E55" s="20">
        <v>72.400000000000006</v>
      </c>
      <c r="F55" s="20">
        <v>72.400000000000006</v>
      </c>
      <c r="G55" s="22">
        <v>0.48</v>
      </c>
      <c r="H55" s="23">
        <v>2.0000000000000001E-10</v>
      </c>
      <c r="I55" s="20">
        <v>38.22</v>
      </c>
      <c r="J55" s="20"/>
    </row>
    <row r="56" spans="1:10" x14ac:dyDescent="0.2">
      <c r="A56" s="20" t="str">
        <f>HYPERLINK("https://www.ncbi.nlm.nih.gov/protein/XP_040225302.1?report=genbank&amp;log$=prottop&amp;blast_rank=685&amp;RID=DNNRD06A013","XP_040225302.1")</f>
        <v>XP_040225302.1</v>
      </c>
      <c r="B56" s="45">
        <v>339</v>
      </c>
      <c r="C56" s="20" t="s">
        <v>63</v>
      </c>
      <c r="D56" s="21" t="s">
        <v>64</v>
      </c>
      <c r="E56" s="20">
        <v>74.3</v>
      </c>
      <c r="F56" s="20">
        <v>74.3</v>
      </c>
      <c r="G56" s="22">
        <v>0.48</v>
      </c>
      <c r="H56" s="23">
        <v>3.9999999999999998E-11</v>
      </c>
      <c r="I56" s="20">
        <v>38.85</v>
      </c>
      <c r="J56" s="20"/>
    </row>
    <row r="57" spans="1:10" x14ac:dyDescent="0.2">
      <c r="A57" s="20" t="str">
        <f>HYPERLINK("https://www.ncbi.nlm.nih.gov/protein/XP_049290463.1?report=genbank&amp;log$=prottop&amp;blast_rank=621&amp;RID=DNNRD06A013","XP_049290463.1")</f>
        <v>XP_049290463.1</v>
      </c>
      <c r="B57" s="45">
        <v>334</v>
      </c>
      <c r="C57" s="20" t="s">
        <v>65</v>
      </c>
      <c r="D57" s="21" t="s">
        <v>66</v>
      </c>
      <c r="E57" s="20">
        <v>80.099999999999994</v>
      </c>
      <c r="F57" s="20">
        <v>80.099999999999994</v>
      </c>
      <c r="G57" s="22">
        <v>0.48</v>
      </c>
      <c r="H57" s="23">
        <v>4.0000000000000001E-13</v>
      </c>
      <c r="I57" s="20">
        <v>36.54</v>
      </c>
      <c r="J57" s="20"/>
    </row>
    <row r="58" spans="1:10" x14ac:dyDescent="0.2">
      <c r="A58" s="20" t="str">
        <f>HYPERLINK("https://www.ncbi.nlm.nih.gov/protein/XP_557337.3?report=genbank&amp;log$=prottop&amp;blast_rank=684&amp;RID=DNNRD06A013","XP_557337.3")</f>
        <v>XP_557337.3</v>
      </c>
      <c r="B58" s="45">
        <v>339</v>
      </c>
      <c r="C58" s="20" t="s">
        <v>67</v>
      </c>
      <c r="D58" s="21" t="s">
        <v>68</v>
      </c>
      <c r="E58" s="20">
        <v>74.3</v>
      </c>
      <c r="F58" s="20">
        <v>74.3</v>
      </c>
      <c r="G58" s="22">
        <v>0.48</v>
      </c>
      <c r="H58" s="23">
        <v>3.9999999999999998E-11</v>
      </c>
      <c r="I58" s="20">
        <v>38.85</v>
      </c>
      <c r="J58" s="20"/>
    </row>
    <row r="59" spans="1:10" x14ac:dyDescent="0.2">
      <c r="A59" s="20" t="str">
        <f>HYPERLINK("https://www.ncbi.nlm.nih.gov/protein/XP_041772340.1?report=genbank&amp;log$=prottop&amp;blast_rank=695&amp;RID=DNNRD06A013","XP_041772340.1")</f>
        <v>XP_041772340.1</v>
      </c>
      <c r="B59" s="45">
        <v>339</v>
      </c>
      <c r="C59" s="20" t="s">
        <v>69</v>
      </c>
      <c r="D59" s="21" t="s">
        <v>70</v>
      </c>
      <c r="E59" s="20">
        <v>72.400000000000006</v>
      </c>
      <c r="F59" s="20">
        <v>72.400000000000006</v>
      </c>
      <c r="G59" s="22">
        <v>0.48</v>
      </c>
      <c r="H59" s="23">
        <v>2.0000000000000001E-10</v>
      </c>
      <c r="I59" s="20">
        <v>38.22</v>
      </c>
      <c r="J59" s="20"/>
    </row>
    <row r="60" spans="1:10" x14ac:dyDescent="0.2">
      <c r="A60" s="20" t="str">
        <f>HYPERLINK("https://www.ncbi.nlm.nih.gov/protein/XP_035916871.1?report=genbank&amp;log$=prottop&amp;blast_rank=663&amp;RID=DNNRD06A013","XP_035916871.1")</f>
        <v>XP_035916871.1</v>
      </c>
      <c r="B60" s="45">
        <v>336</v>
      </c>
      <c r="C60" s="20" t="s">
        <v>71</v>
      </c>
      <c r="D60" s="21" t="s">
        <v>72</v>
      </c>
      <c r="E60" s="20">
        <v>76.3</v>
      </c>
      <c r="F60" s="20">
        <v>76.3</v>
      </c>
      <c r="G60" s="22">
        <v>0.49</v>
      </c>
      <c r="H60" s="23">
        <v>7.9999999999999998E-12</v>
      </c>
      <c r="I60" s="20">
        <v>36.31</v>
      </c>
      <c r="J60" s="20"/>
    </row>
    <row r="61" spans="1:10" x14ac:dyDescent="0.2">
      <c r="A61" s="20" t="str">
        <f>HYPERLINK("https://www.ncbi.nlm.nih.gov/protein/XP_018574679.1?report=genbank&amp;log$=prottop&amp;blast_rank=600&amp;RID=DNNRD06A013","XP_018574679.1")</f>
        <v>XP_018574679.1</v>
      </c>
      <c r="B61" s="45">
        <v>303</v>
      </c>
      <c r="C61" s="20" t="s">
        <v>73</v>
      </c>
      <c r="D61" s="21" t="s">
        <v>74</v>
      </c>
      <c r="E61" s="20">
        <v>81.599999999999994</v>
      </c>
      <c r="F61" s="20">
        <v>81.599999999999994</v>
      </c>
      <c r="G61" s="22">
        <v>0.48</v>
      </c>
      <c r="H61" s="23">
        <v>8E-14</v>
      </c>
      <c r="I61" s="20">
        <v>32.9</v>
      </c>
      <c r="J61" s="20"/>
    </row>
    <row r="62" spans="1:10" x14ac:dyDescent="0.2">
      <c r="A62" s="20" t="str">
        <f>HYPERLINK("https://www.ncbi.nlm.nih.gov/protein/XP_018574678.1?report=genbank&amp;log$=prottop&amp;blast_rank=599&amp;RID=DNNRD06A013","XP_018574678.1")</f>
        <v>XP_018574678.1</v>
      </c>
      <c r="B62" s="45">
        <v>314</v>
      </c>
      <c r="C62" s="20" t="s">
        <v>75</v>
      </c>
      <c r="D62" s="21" t="s">
        <v>74</v>
      </c>
      <c r="E62" s="20">
        <v>81.599999999999994</v>
      </c>
      <c r="F62" s="20">
        <v>131</v>
      </c>
      <c r="G62" s="22">
        <v>0.7</v>
      </c>
      <c r="H62" s="23">
        <v>8E-14</v>
      </c>
      <c r="I62" s="20">
        <v>32.9</v>
      </c>
      <c r="J62" s="20"/>
    </row>
    <row r="63" spans="1:10" x14ac:dyDescent="0.2">
      <c r="A63" s="20" t="str">
        <f>HYPERLINK("https://www.ncbi.nlm.nih.gov/protein/YP_611004.1?report=genbank&amp;log$=prottop&amp;blast_rank=623&amp;RID=DNNRD06A013","YP_611004.1")</f>
        <v>YP_611004.1</v>
      </c>
      <c r="B63" s="45">
        <v>230</v>
      </c>
      <c r="C63" s="20" t="s">
        <v>76</v>
      </c>
      <c r="D63" s="21" t="s">
        <v>77</v>
      </c>
      <c r="E63" s="20">
        <v>77.8</v>
      </c>
      <c r="F63" s="20">
        <v>77.8</v>
      </c>
      <c r="G63" s="22">
        <v>0.7</v>
      </c>
      <c r="H63" s="23">
        <v>5.9999999999999997E-13</v>
      </c>
      <c r="I63" s="20">
        <v>30.74</v>
      </c>
      <c r="J63" s="20"/>
    </row>
    <row r="64" spans="1:10" x14ac:dyDescent="0.2">
      <c r="A64" s="20" t="str">
        <f>HYPERLINK("https://www.ncbi.nlm.nih.gov/protein/YP_009316054.1?report=genbank&amp;log$=prottop&amp;blast_rank=592&amp;RID=DNNRD06A013","YP_009316054.1")</f>
        <v>YP_009316054.1</v>
      </c>
      <c r="B64" s="45">
        <v>230</v>
      </c>
      <c r="C64" s="20" t="s">
        <v>78</v>
      </c>
      <c r="D64" s="21" t="s">
        <v>79</v>
      </c>
      <c r="E64" s="20">
        <v>81.3</v>
      </c>
      <c r="F64" s="20">
        <v>81.3</v>
      </c>
      <c r="G64" s="22">
        <v>0.7</v>
      </c>
      <c r="H64" s="23">
        <v>4E-14</v>
      </c>
      <c r="I64" s="20">
        <v>31.15</v>
      </c>
      <c r="J64" s="20"/>
    </row>
    <row r="65" spans="1:10" x14ac:dyDescent="0.2">
      <c r="A65" s="20" t="str">
        <f>HYPERLINK("https://www.ncbi.nlm.nih.gov/protein/YP_803516.1?report=genbank&amp;log$=prottop&amp;blast_rank=598&amp;RID=DNNRD06A013","YP_803516.1")</f>
        <v>YP_803516.1</v>
      </c>
      <c r="B65" s="45">
        <v>230</v>
      </c>
      <c r="C65" s="20" t="s">
        <v>80</v>
      </c>
      <c r="D65" s="21" t="s">
        <v>81</v>
      </c>
      <c r="E65" s="20">
        <v>80.5</v>
      </c>
      <c r="F65" s="20">
        <v>80.5</v>
      </c>
      <c r="G65" s="22">
        <v>0.7</v>
      </c>
      <c r="H65" s="23">
        <v>8E-14</v>
      </c>
      <c r="I65" s="20">
        <v>31.15</v>
      </c>
      <c r="J65" s="20"/>
    </row>
    <row r="66" spans="1:10" x14ac:dyDescent="0.2">
      <c r="A66" s="20" t="str">
        <f>HYPERLINK("https://www.ncbi.nlm.nih.gov/protein/XP_012293309.1?report=genbank&amp;log$=prottop&amp;blast_rank=381&amp;RID=DNNRD06A013","XP_012293309.1")</f>
        <v>XP_012293309.1</v>
      </c>
      <c r="B66" s="45">
        <v>236</v>
      </c>
      <c r="C66" s="20" t="s">
        <v>82</v>
      </c>
      <c r="D66" s="21" t="s">
        <v>83</v>
      </c>
      <c r="E66" s="20">
        <v>147</v>
      </c>
      <c r="F66" s="20">
        <v>147</v>
      </c>
      <c r="G66" s="22">
        <v>0.7</v>
      </c>
      <c r="H66" s="23">
        <v>3.9999999999999997E-39</v>
      </c>
      <c r="I66" s="20">
        <v>46.02</v>
      </c>
      <c r="J66" s="20"/>
    </row>
    <row r="67" spans="1:10" x14ac:dyDescent="0.2">
      <c r="A67" s="20" t="str">
        <f>HYPERLINK("https://www.ncbi.nlm.nih.gov/protein/XP_012323071.1?report=genbank&amp;log$=prottop&amp;blast_rank=18&amp;RID=DNNRD06A013","XP_012323071.1")</f>
        <v>XP_012323071.1</v>
      </c>
      <c r="B67" s="45">
        <v>314</v>
      </c>
      <c r="C67" s="20" t="s">
        <v>84</v>
      </c>
      <c r="D67" s="21" t="s">
        <v>83</v>
      </c>
      <c r="E67" s="20">
        <v>443</v>
      </c>
      <c r="F67" s="20">
        <v>443</v>
      </c>
      <c r="G67" s="22">
        <v>1</v>
      </c>
      <c r="H67" s="23">
        <v>5.0000000000000002E-154</v>
      </c>
      <c r="I67" s="20">
        <v>92.68</v>
      </c>
      <c r="J67" s="20"/>
    </row>
    <row r="68" spans="1:10" x14ac:dyDescent="0.2">
      <c r="A68" s="20" t="str">
        <f>HYPERLINK("https://www.ncbi.nlm.nih.gov/protein/XP_016913398.1?report=genbank&amp;log$=prottop&amp;blast_rank=758&amp;RID=DNNRD06A013","XP_016913398.1")</f>
        <v>XP_016913398.1</v>
      </c>
      <c r="B68" s="45">
        <v>321</v>
      </c>
      <c r="C68" s="20" t="s">
        <v>85</v>
      </c>
      <c r="D68" s="21" t="s">
        <v>86</v>
      </c>
      <c r="E68" s="20">
        <v>63.9</v>
      </c>
      <c r="F68" s="20">
        <v>63.9</v>
      </c>
      <c r="G68" s="22">
        <v>0.47</v>
      </c>
      <c r="H68" s="23">
        <v>9.9999999999999995E-8</v>
      </c>
      <c r="I68" s="20">
        <v>35.53</v>
      </c>
      <c r="J68" s="20"/>
    </row>
    <row r="69" spans="1:10" x14ac:dyDescent="0.2">
      <c r="A69" s="20" t="str">
        <f>HYPERLINK("https://www.ncbi.nlm.nih.gov/protein/XP_031370532.1?report=genbank&amp;log$=prottop&amp;blast_rank=759&amp;RID=DNNRD06A013","XP_031370532.1")</f>
        <v>XP_031370532.1</v>
      </c>
      <c r="B69" s="45">
        <v>319</v>
      </c>
      <c r="C69" s="20" t="s">
        <v>87</v>
      </c>
      <c r="D69" s="21" t="s">
        <v>88</v>
      </c>
      <c r="E69" s="20">
        <v>63.9</v>
      </c>
      <c r="F69" s="20">
        <v>63.9</v>
      </c>
      <c r="G69" s="22">
        <v>0.42</v>
      </c>
      <c r="H69" s="23">
        <v>9.9999999999999995E-8</v>
      </c>
      <c r="I69" s="20">
        <v>38.06</v>
      </c>
      <c r="J69" s="20"/>
    </row>
    <row r="70" spans="1:10" x14ac:dyDescent="0.2">
      <c r="A70" s="20" t="str">
        <f>HYPERLINK("https://www.ncbi.nlm.nih.gov/protein/XP_003692367.2?report=genbank&amp;log$=prottop&amp;blast_rank=771&amp;RID=DNNRD06A013","XP_003692367.2")</f>
        <v>XP_003692367.2</v>
      </c>
      <c r="B70" s="45">
        <v>332</v>
      </c>
      <c r="C70" s="20" t="s">
        <v>89</v>
      </c>
      <c r="D70" s="21" t="s">
        <v>90</v>
      </c>
      <c r="E70" s="20">
        <v>62.4</v>
      </c>
      <c r="F70" s="20">
        <v>62.4</v>
      </c>
      <c r="G70" s="22">
        <v>0.53</v>
      </c>
      <c r="H70" s="23">
        <v>3.9999999999999998E-7</v>
      </c>
      <c r="I70" s="20">
        <v>31.61</v>
      </c>
      <c r="J70" s="20"/>
    </row>
    <row r="71" spans="1:10" x14ac:dyDescent="0.2">
      <c r="A71" s="20" t="str">
        <f>HYPERLINK("https://www.ncbi.nlm.nih.gov/protein/XP_043784563.1?report=genbank&amp;log$=prottop&amp;blast_rank=765&amp;RID=DNNRD06A013","XP_043784563.1")</f>
        <v>XP_043784563.1</v>
      </c>
      <c r="B71" s="45">
        <v>319</v>
      </c>
      <c r="C71" s="20" t="s">
        <v>91</v>
      </c>
      <c r="D71" s="21" t="s">
        <v>92</v>
      </c>
      <c r="E71" s="20">
        <v>62.8</v>
      </c>
      <c r="F71" s="20">
        <v>62.8</v>
      </c>
      <c r="G71" s="22">
        <v>0.42</v>
      </c>
      <c r="H71" s="23">
        <v>1.9999999999999999E-7</v>
      </c>
      <c r="I71" s="20">
        <v>38.06</v>
      </c>
      <c r="J71" s="20"/>
    </row>
    <row r="72" spans="1:10" x14ac:dyDescent="0.2">
      <c r="A72" s="20" t="str">
        <f>HYPERLINK("https://www.ncbi.nlm.nih.gov/protein/XP_006557487.1?report=genbank&amp;log$=prottop&amp;blast_rank=581&amp;RID=DNNRD06A013","XP_006557487.1")</f>
        <v>XP_006557487.1</v>
      </c>
      <c r="B72" s="45">
        <v>241</v>
      </c>
      <c r="C72" s="20" t="s">
        <v>93</v>
      </c>
      <c r="D72" s="21" t="s">
        <v>94</v>
      </c>
      <c r="E72" s="20">
        <v>82.8</v>
      </c>
      <c r="F72" s="20">
        <v>82.8</v>
      </c>
      <c r="G72" s="22">
        <v>0.68</v>
      </c>
      <c r="H72" s="23">
        <v>1E-14</v>
      </c>
      <c r="I72" s="20">
        <v>29.8</v>
      </c>
      <c r="J72" s="20"/>
    </row>
    <row r="73" spans="1:10" x14ac:dyDescent="0.2">
      <c r="A73" s="20" t="str">
        <f>HYPERLINK("https://www.ncbi.nlm.nih.gov/protein/XP_016770519.1?report=genbank&amp;log$=prottop&amp;blast_rank=550&amp;RID=DNNRD06A013","XP_016770519.1")</f>
        <v>XP_016770519.1</v>
      </c>
      <c r="B73" s="45">
        <v>202</v>
      </c>
      <c r="C73" s="20" t="s">
        <v>95</v>
      </c>
      <c r="D73" s="21" t="s">
        <v>94</v>
      </c>
      <c r="E73" s="20">
        <v>86.7</v>
      </c>
      <c r="F73" s="20">
        <v>86.7</v>
      </c>
      <c r="G73" s="22">
        <v>0.68</v>
      </c>
      <c r="H73" s="23">
        <v>2E-16</v>
      </c>
      <c r="I73" s="20">
        <v>32.72</v>
      </c>
      <c r="J73" s="20"/>
    </row>
    <row r="74" spans="1:10" x14ac:dyDescent="0.2">
      <c r="A74" s="20" t="str">
        <f>HYPERLINK("https://www.ncbi.nlm.nih.gov/protein/XP_016770518.1?report=genbank&amp;log$=prottop&amp;blast_rank=755&amp;RID=DNNRD06A013","XP_016770518.1")</f>
        <v>XP_016770518.1</v>
      </c>
      <c r="B74" s="45">
        <v>321</v>
      </c>
      <c r="C74" s="20" t="s">
        <v>96</v>
      </c>
      <c r="D74" s="21" t="s">
        <v>94</v>
      </c>
      <c r="E74" s="20">
        <v>64.3</v>
      </c>
      <c r="F74" s="20">
        <v>64.3</v>
      </c>
      <c r="G74" s="22">
        <v>0.47</v>
      </c>
      <c r="H74" s="23">
        <v>7.0000000000000005E-8</v>
      </c>
      <c r="I74" s="20">
        <v>36.18</v>
      </c>
      <c r="J74" s="20"/>
    </row>
    <row r="75" spans="1:10" x14ac:dyDescent="0.2">
      <c r="A75" s="20" t="str">
        <f>HYPERLINK("https://www.ncbi.nlm.nih.gov/protein/XP_035824810.1?report=genbank&amp;log$=prottop&amp;blast_rank=696&amp;RID=DNNRD06A013","XP_035824810.1")</f>
        <v>XP_035824810.1</v>
      </c>
      <c r="B75" s="45">
        <v>294</v>
      </c>
      <c r="C75" s="20" t="s">
        <v>97</v>
      </c>
      <c r="D75" s="21" t="s">
        <v>98</v>
      </c>
      <c r="E75" s="20">
        <v>71.599999999999994</v>
      </c>
      <c r="F75" s="20">
        <v>71.599999999999994</v>
      </c>
      <c r="G75" s="22">
        <v>0.57999999999999996</v>
      </c>
      <c r="H75" s="23">
        <v>2.0000000000000001E-10</v>
      </c>
      <c r="I75" s="20">
        <v>32.79</v>
      </c>
      <c r="J75" s="20"/>
    </row>
    <row r="76" spans="1:10" x14ac:dyDescent="0.2">
      <c r="A76" s="20" t="str">
        <f>HYPERLINK("https://www.ncbi.nlm.nih.gov/protein/XP_005098868.2?report=genbank&amp;log$=prottop&amp;blast_rank=461&amp;RID=DNNRD06A013","XP_005098868.2")</f>
        <v>XP_005098868.2</v>
      </c>
      <c r="B76" s="45">
        <v>217</v>
      </c>
      <c r="C76" s="20" t="s">
        <v>99</v>
      </c>
      <c r="D76" s="21" t="s">
        <v>98</v>
      </c>
      <c r="E76" s="20">
        <v>118</v>
      </c>
      <c r="F76" s="20">
        <v>118</v>
      </c>
      <c r="G76" s="22">
        <v>0.73</v>
      </c>
      <c r="H76" s="23">
        <v>3E-28</v>
      </c>
      <c r="I76" s="20">
        <v>35.340000000000003</v>
      </c>
      <c r="J76" s="20"/>
    </row>
    <row r="77" spans="1:10" x14ac:dyDescent="0.2">
      <c r="A77" s="20" t="str">
        <f>HYPERLINK("https://www.ncbi.nlm.nih.gov/protein/XP_012938245.1?report=genbank&amp;log$=prottop&amp;blast_rank=706&amp;RID=DNNRD06A013","XP_012938245.1")</f>
        <v>XP_012938245.1</v>
      </c>
      <c r="B77" s="45">
        <v>457</v>
      </c>
      <c r="C77" s="20" t="s">
        <v>100</v>
      </c>
      <c r="D77" s="21" t="s">
        <v>98</v>
      </c>
      <c r="E77" s="20">
        <v>72</v>
      </c>
      <c r="F77" s="20">
        <v>134</v>
      </c>
      <c r="G77" s="22">
        <v>0.71</v>
      </c>
      <c r="H77" s="23">
        <v>3E-10</v>
      </c>
      <c r="I77" s="20">
        <v>34.57</v>
      </c>
      <c r="J77" s="20"/>
    </row>
    <row r="78" spans="1:10" x14ac:dyDescent="0.2">
      <c r="A78" s="20" t="str">
        <f>HYPERLINK("https://www.ncbi.nlm.nih.gov/protein/XP_012941377.1?report=genbank&amp;log$=prottop&amp;blast_rank=597&amp;RID=DNNRD06A013","XP_012941377.1")</f>
        <v>XP_012941377.1</v>
      </c>
      <c r="B78" s="45">
        <v>445</v>
      </c>
      <c r="C78" s="20" t="s">
        <v>101</v>
      </c>
      <c r="D78" s="21" t="s">
        <v>98</v>
      </c>
      <c r="E78" s="20">
        <v>83.2</v>
      </c>
      <c r="F78" s="20">
        <v>131</v>
      </c>
      <c r="G78" s="22">
        <v>0.67</v>
      </c>
      <c r="H78" s="23">
        <v>5.9999999999999997E-14</v>
      </c>
      <c r="I78" s="20">
        <v>40</v>
      </c>
      <c r="J78" s="20"/>
    </row>
    <row r="79" spans="1:10" x14ac:dyDescent="0.2">
      <c r="A79" s="20" t="str">
        <f>HYPERLINK("https://www.ncbi.nlm.nih.gov/protein/XP_013800735.1?report=genbank&amp;log$=prottop&amp;blast_rank=649&amp;RID=DNNRD06A013","XP_013800735.1")</f>
        <v>XP_013800735.1</v>
      </c>
      <c r="B79" s="45">
        <v>219</v>
      </c>
      <c r="C79" s="20" t="s">
        <v>102</v>
      </c>
      <c r="D79" s="21" t="s">
        <v>103</v>
      </c>
      <c r="E79" s="20">
        <v>75.5</v>
      </c>
      <c r="F79" s="20">
        <v>75.5</v>
      </c>
      <c r="G79" s="22">
        <v>0.53</v>
      </c>
      <c r="H79" s="23">
        <v>3.9999999999999999E-12</v>
      </c>
      <c r="I79" s="20">
        <v>35.67</v>
      </c>
      <c r="J79" s="20"/>
    </row>
    <row r="80" spans="1:10" x14ac:dyDescent="0.2">
      <c r="A80" s="20" t="str">
        <f>HYPERLINK("https://www.ncbi.nlm.nih.gov/protein/XP_041968133.1?report=genbank&amp;log$=prottop&amp;blast_rank=654&amp;RID=DNNRD06A013","XP_041968133.1")</f>
        <v>XP_041968133.1</v>
      </c>
      <c r="B80" s="45">
        <v>276</v>
      </c>
      <c r="C80" s="20" t="s">
        <v>104</v>
      </c>
      <c r="D80" s="21" t="s">
        <v>105</v>
      </c>
      <c r="E80" s="20">
        <v>76.3</v>
      </c>
      <c r="F80" s="20">
        <v>76.3</v>
      </c>
      <c r="G80" s="22">
        <v>0.5</v>
      </c>
      <c r="H80" s="23">
        <v>3.9999999999999999E-12</v>
      </c>
      <c r="I80" s="20">
        <v>33.74</v>
      </c>
      <c r="J80" s="20"/>
    </row>
    <row r="81" spans="1:10" x14ac:dyDescent="0.2">
      <c r="A81" s="20" t="str">
        <f>HYPERLINK("https://www.ncbi.nlm.nih.gov/protein/XP_041985263.1?report=genbank&amp;log$=prottop&amp;blast_rank=661&amp;RID=DNNRD06A013","XP_041985263.1")</f>
        <v>XP_041985263.1</v>
      </c>
      <c r="B81" s="45">
        <v>289</v>
      </c>
      <c r="C81" s="20" t="s">
        <v>106</v>
      </c>
      <c r="D81" s="21" t="s">
        <v>105</v>
      </c>
      <c r="E81" s="20">
        <v>75.900000000000006</v>
      </c>
      <c r="F81" s="20">
        <v>75.900000000000006</v>
      </c>
      <c r="G81" s="22">
        <v>0.7</v>
      </c>
      <c r="H81" s="23">
        <v>7.0000000000000001E-12</v>
      </c>
      <c r="I81" s="20">
        <v>24.83</v>
      </c>
      <c r="J81" s="20"/>
    </row>
    <row r="82" spans="1:10" x14ac:dyDescent="0.2">
      <c r="A82" s="20" t="str">
        <f>HYPERLINK("https://www.ncbi.nlm.nih.gov/protein/XP_037006430.1?report=genbank&amp;log$=prottop&amp;blast_rank=392&amp;RID=DNNRD06A013","XP_037006430.1")</f>
        <v>XP_037006430.1</v>
      </c>
      <c r="B82" s="45">
        <v>236</v>
      </c>
      <c r="C82" s="20" t="s">
        <v>107</v>
      </c>
      <c r="D82" s="21" t="s">
        <v>108</v>
      </c>
      <c r="E82" s="20">
        <v>146</v>
      </c>
      <c r="F82" s="20">
        <v>146</v>
      </c>
      <c r="G82" s="22">
        <v>0.71</v>
      </c>
      <c r="H82" s="23">
        <v>9.9999999999999996E-39</v>
      </c>
      <c r="I82" s="20">
        <v>44.2</v>
      </c>
      <c r="J82" s="20"/>
    </row>
    <row r="83" spans="1:10" x14ac:dyDescent="0.2">
      <c r="A83" s="20" t="str">
        <f>HYPERLINK("https://www.ncbi.nlm.nih.gov/protein/XP_036984293.1?report=genbank&amp;log$=prottop&amp;blast_rank=115&amp;RID=DNNRD06A013","XP_036984293.1")</f>
        <v>XP_036984293.1</v>
      </c>
      <c r="B83" s="45">
        <v>314</v>
      </c>
      <c r="C83" s="20" t="s">
        <v>109</v>
      </c>
      <c r="D83" s="21" t="s">
        <v>108</v>
      </c>
      <c r="E83" s="20">
        <v>383</v>
      </c>
      <c r="F83" s="20">
        <v>383</v>
      </c>
      <c r="G83" s="22">
        <v>1</v>
      </c>
      <c r="H83" s="23">
        <v>2.0000000000000002E-130</v>
      </c>
      <c r="I83" s="20">
        <v>80.25</v>
      </c>
      <c r="J83" s="20"/>
    </row>
    <row r="84" spans="1:10" x14ac:dyDescent="0.2">
      <c r="A84" s="20" t="str">
        <f>HYPERLINK("https://www.ncbi.nlm.nih.gov/protein/XP_034341536.1?report=genbank&amp;log$=prottop&amp;blast_rank=373&amp;RID=DNNRD06A013","XP_034341536.1")</f>
        <v>XP_034341536.1</v>
      </c>
      <c r="B84" s="45">
        <v>236</v>
      </c>
      <c r="C84" s="20" t="s">
        <v>110</v>
      </c>
      <c r="D84" s="21" t="s">
        <v>111</v>
      </c>
      <c r="E84" s="20">
        <v>148</v>
      </c>
      <c r="F84" s="20">
        <v>148</v>
      </c>
      <c r="G84" s="22">
        <v>0.7</v>
      </c>
      <c r="H84" s="23">
        <v>1.9999999999999999E-39</v>
      </c>
      <c r="I84" s="20">
        <v>44.25</v>
      </c>
      <c r="J84" s="20"/>
    </row>
    <row r="85" spans="1:10" x14ac:dyDescent="0.2">
      <c r="A85" s="20" t="str">
        <f>HYPERLINK("https://www.ncbi.nlm.nih.gov/protein/XP_034380941.1?report=genbank&amp;log$=prottop&amp;blast_rank=166&amp;RID=DNNRD06A013","XP_034380941.1")</f>
        <v>XP_034380941.1</v>
      </c>
      <c r="B85" s="45">
        <v>345</v>
      </c>
      <c r="C85" s="20" t="s">
        <v>112</v>
      </c>
      <c r="D85" s="21" t="s">
        <v>111</v>
      </c>
      <c r="E85" s="20">
        <v>343</v>
      </c>
      <c r="F85" s="20">
        <v>343</v>
      </c>
      <c r="G85" s="22">
        <v>1</v>
      </c>
      <c r="H85" s="23">
        <v>3.0000000000000002E-114</v>
      </c>
      <c r="I85" s="20">
        <v>72.38</v>
      </c>
      <c r="J85" s="20"/>
    </row>
    <row r="86" spans="1:10" x14ac:dyDescent="0.2">
      <c r="A86" s="20" t="str">
        <f>HYPERLINK("https://www.ncbi.nlm.nih.gov/protein/XP_038171593.1?report=genbank&amp;log$=prottop&amp;blast_rank=306&amp;RID=DNNRD06A013","XP_038171593.1")</f>
        <v>XP_038171593.1</v>
      </c>
      <c r="B86" s="45">
        <v>236</v>
      </c>
      <c r="C86" s="20" t="s">
        <v>113</v>
      </c>
      <c r="D86" s="21" t="s">
        <v>114</v>
      </c>
      <c r="E86" s="20">
        <v>152</v>
      </c>
      <c r="F86" s="20">
        <v>152</v>
      </c>
      <c r="G86" s="22">
        <v>0.7</v>
      </c>
      <c r="H86" s="23">
        <v>9.0000000000000002E-41</v>
      </c>
      <c r="I86" s="20">
        <v>46.46</v>
      </c>
      <c r="J86" s="20"/>
    </row>
    <row r="87" spans="1:10" x14ac:dyDescent="0.2">
      <c r="A87" s="20" t="str">
        <f>HYPERLINK("https://www.ncbi.nlm.nih.gov/protein/XP_038178559.1?report=genbank&amp;log$=prottop&amp;blast_rank=128&amp;RID=DNNRD06A013","XP_038178559.1")</f>
        <v>XP_038178559.1</v>
      </c>
      <c r="B87" s="45">
        <v>313</v>
      </c>
      <c r="C87" s="20" t="s">
        <v>115</v>
      </c>
      <c r="D87" s="21" t="s">
        <v>114</v>
      </c>
      <c r="E87" s="20">
        <v>367</v>
      </c>
      <c r="F87" s="20">
        <v>367</v>
      </c>
      <c r="G87" s="22">
        <v>1</v>
      </c>
      <c r="H87" s="23">
        <v>6E-124</v>
      </c>
      <c r="I87" s="20">
        <v>76.83</v>
      </c>
      <c r="J87" s="20"/>
    </row>
    <row r="88" spans="1:10" x14ac:dyDescent="0.2">
      <c r="A88" s="20" t="str">
        <f>HYPERLINK("https://www.ncbi.nlm.nih.gov/protein/XP_033643355.1?report=genbank&amp;log$=prottop&amp;blast_rank=427&amp;RID=DNNRD06A013","XP_033643355.1")</f>
        <v>XP_033643355.1</v>
      </c>
      <c r="B88" s="45">
        <v>599</v>
      </c>
      <c r="C88" s="20" t="s">
        <v>116</v>
      </c>
      <c r="D88" s="21" t="s">
        <v>117</v>
      </c>
      <c r="E88" s="20">
        <v>144</v>
      </c>
      <c r="F88" s="20">
        <v>256</v>
      </c>
      <c r="G88" s="22">
        <v>0.76</v>
      </c>
      <c r="H88" s="23">
        <v>2.9999999999999999E-35</v>
      </c>
      <c r="I88" s="20">
        <v>39.340000000000003</v>
      </c>
      <c r="J88" s="20"/>
    </row>
    <row r="89" spans="1:10" x14ac:dyDescent="0.2">
      <c r="A89" s="20" t="str">
        <f>HYPERLINK("https://www.ncbi.nlm.nih.gov/protein/XP_048515619.1?report=genbank&amp;log$=prottop&amp;blast_rank=718&amp;RID=DNNRD06A013","XP_048515619.1")</f>
        <v>XP_048515619.1</v>
      </c>
      <c r="B89" s="45">
        <v>349</v>
      </c>
      <c r="C89" s="20" t="s">
        <v>118</v>
      </c>
      <c r="D89" s="21" t="s">
        <v>119</v>
      </c>
      <c r="E89" s="20">
        <v>69.7</v>
      </c>
      <c r="F89" s="20">
        <v>69.7</v>
      </c>
      <c r="G89" s="22">
        <v>0.6</v>
      </c>
      <c r="H89" s="23">
        <v>2.0000000000000001E-9</v>
      </c>
      <c r="I89" s="20">
        <v>28.84</v>
      </c>
      <c r="J89" s="20"/>
    </row>
    <row r="90" spans="1:10" x14ac:dyDescent="0.2">
      <c r="A90" s="20" t="str">
        <f>HYPERLINK("https://www.ncbi.nlm.nih.gov/protein/XP_012268175.2?report=genbank&amp;log$=prottop&amp;blast_rank=601&amp;RID=DNNRD06A013","XP_012268175.2")</f>
        <v>XP_012268175.2</v>
      </c>
      <c r="B90" s="45">
        <v>325</v>
      </c>
      <c r="C90" s="20" t="s">
        <v>120</v>
      </c>
      <c r="D90" s="21" t="s">
        <v>119</v>
      </c>
      <c r="E90" s="20">
        <v>81.599999999999994</v>
      </c>
      <c r="F90" s="20">
        <v>81.599999999999994</v>
      </c>
      <c r="G90" s="22">
        <v>0.6</v>
      </c>
      <c r="H90" s="23">
        <v>8.9999999999999995E-14</v>
      </c>
      <c r="I90" s="20">
        <v>32.29</v>
      </c>
      <c r="J90" s="20"/>
    </row>
    <row r="91" spans="1:10" x14ac:dyDescent="0.2">
      <c r="A91" s="20" t="str">
        <f>HYPERLINK("https://www.ncbi.nlm.nih.gov/protein/XP_048515621.1?report=genbank&amp;log$=prottop&amp;blast_rank=612&amp;RID=DNNRD06A013","XP_048515621.1")</f>
        <v>XP_048515621.1</v>
      </c>
      <c r="B91" s="45">
        <v>296</v>
      </c>
      <c r="C91" s="20" t="s">
        <v>121</v>
      </c>
      <c r="D91" s="21" t="s">
        <v>119</v>
      </c>
      <c r="E91" s="20">
        <v>80.099999999999994</v>
      </c>
      <c r="F91" s="20">
        <v>80.099999999999994</v>
      </c>
      <c r="G91" s="22">
        <v>0.52</v>
      </c>
      <c r="H91" s="23">
        <v>2.0000000000000001E-13</v>
      </c>
      <c r="I91" s="20">
        <v>33.93</v>
      </c>
      <c r="J91" s="20"/>
    </row>
    <row r="92" spans="1:10" x14ac:dyDescent="0.2">
      <c r="A92" s="20" t="str">
        <f>HYPERLINK("https://www.ncbi.nlm.nih.gov/protein/XP_048515620.1?report=genbank&amp;log$=prottop&amp;blast_rank=730&amp;RID=DNNRD06A013","XP_048515620.1")</f>
        <v>XP_048515620.1</v>
      </c>
      <c r="B92" s="45">
        <v>320</v>
      </c>
      <c r="C92" s="20" t="s">
        <v>122</v>
      </c>
      <c r="D92" s="21" t="s">
        <v>119</v>
      </c>
      <c r="E92" s="20">
        <v>67.8</v>
      </c>
      <c r="F92" s="20">
        <v>67.8</v>
      </c>
      <c r="G92" s="22">
        <v>0.52</v>
      </c>
      <c r="H92" s="23">
        <v>5.0000000000000001E-9</v>
      </c>
      <c r="I92" s="20">
        <v>29.84</v>
      </c>
      <c r="J92" s="20"/>
    </row>
    <row r="93" spans="1:10" x14ac:dyDescent="0.2">
      <c r="A93" s="20" t="str">
        <f>HYPERLINK("https://www.ncbi.nlm.nih.gov/protein/XP_012062880.1?report=genbank&amp;log$=prottop&amp;blast_rank=885&amp;RID=DNNRD06A013","XP_012062880.1")</f>
        <v>XP_012062880.1</v>
      </c>
      <c r="B93" s="45">
        <v>258</v>
      </c>
      <c r="C93" s="20" t="s">
        <v>123</v>
      </c>
      <c r="D93" s="21" t="s">
        <v>124</v>
      </c>
      <c r="E93" s="20">
        <v>50.8</v>
      </c>
      <c r="F93" s="20">
        <v>50.8</v>
      </c>
      <c r="G93" s="22">
        <v>0.46</v>
      </c>
      <c r="H93" s="20">
        <v>2E-3</v>
      </c>
      <c r="I93" s="20">
        <v>31.29</v>
      </c>
      <c r="J93" s="20"/>
    </row>
    <row r="94" spans="1:10" x14ac:dyDescent="0.2">
      <c r="A94" s="20" t="str">
        <f>HYPERLINK("https://www.ncbi.nlm.nih.gov/protein/XP_018045432.1?report=genbank&amp;log$=prottop&amp;blast_rank=886&amp;RID=DNNRD06A013","XP_018045432.1")</f>
        <v>XP_018045432.1</v>
      </c>
      <c r="B94" s="45">
        <v>325</v>
      </c>
      <c r="C94" s="20" t="s">
        <v>125</v>
      </c>
      <c r="D94" s="21" t="s">
        <v>126</v>
      </c>
      <c r="E94" s="20">
        <v>50.8</v>
      </c>
      <c r="F94" s="20">
        <v>50.8</v>
      </c>
      <c r="G94" s="22">
        <v>0.46</v>
      </c>
      <c r="H94" s="20">
        <v>2E-3</v>
      </c>
      <c r="I94" s="20">
        <v>31.29</v>
      </c>
      <c r="J94" s="20"/>
    </row>
    <row r="95" spans="1:10" x14ac:dyDescent="0.2">
      <c r="A95" s="20" t="str">
        <f>HYPERLINK("https://www.ncbi.nlm.nih.gov/protein/XP_011199808.2?report=genbank&amp;log$=prottop&amp;blast_rank=715&amp;RID=DNNRD06A013","XP_011199808.2")</f>
        <v>XP_011199808.2</v>
      </c>
      <c r="B95" s="45">
        <v>238</v>
      </c>
      <c r="C95" s="20" t="s">
        <v>127</v>
      </c>
      <c r="D95" s="21" t="s">
        <v>128</v>
      </c>
      <c r="E95" s="20">
        <v>68.900000000000006</v>
      </c>
      <c r="F95" s="20">
        <v>68.900000000000006</v>
      </c>
      <c r="G95" s="22">
        <v>0.51</v>
      </c>
      <c r="H95" s="23">
        <v>1.0000000000000001E-9</v>
      </c>
      <c r="I95" s="20">
        <v>30.77</v>
      </c>
      <c r="J95" s="20"/>
    </row>
    <row r="96" spans="1:10" x14ac:dyDescent="0.2">
      <c r="A96" s="20" t="str">
        <f>HYPERLINK("https://www.ncbi.nlm.nih.gov/protein/XP_011199806.2?report=genbank&amp;log$=prottop&amp;blast_rank=689&amp;RID=DNNRD06A013","XP_011199806.2")</f>
        <v>XP_011199806.2</v>
      </c>
      <c r="B96" s="45">
        <v>530</v>
      </c>
      <c r="C96" s="20" t="s">
        <v>129</v>
      </c>
      <c r="D96" s="21" t="s">
        <v>128</v>
      </c>
      <c r="E96" s="20">
        <v>74.3</v>
      </c>
      <c r="F96" s="20">
        <v>74.3</v>
      </c>
      <c r="G96" s="22">
        <v>0.53</v>
      </c>
      <c r="H96" s="23">
        <v>6E-11</v>
      </c>
      <c r="I96" s="20">
        <v>34.46</v>
      </c>
      <c r="J96" s="20"/>
    </row>
    <row r="97" spans="1:10" x14ac:dyDescent="0.2">
      <c r="A97" s="20" t="str">
        <f>HYPERLINK("https://www.ncbi.nlm.nih.gov/protein/XP_018783331.1?report=genbank&amp;log$=prottop&amp;blast_rank=713&amp;RID=DNNRD06A013","XP_018783331.1")</f>
        <v>XP_018783331.1</v>
      </c>
      <c r="B97" s="45">
        <v>237</v>
      </c>
      <c r="C97" s="20" t="s">
        <v>130</v>
      </c>
      <c r="D97" s="21" t="s">
        <v>131</v>
      </c>
      <c r="E97" s="20">
        <v>69.3</v>
      </c>
      <c r="F97" s="20">
        <v>69.3</v>
      </c>
      <c r="G97" s="22">
        <v>0.51</v>
      </c>
      <c r="H97" s="23">
        <v>6.9999999999999996E-10</v>
      </c>
      <c r="I97" s="20">
        <v>25.73</v>
      </c>
      <c r="J97" s="20"/>
    </row>
    <row r="98" spans="1:10" x14ac:dyDescent="0.2">
      <c r="A98" s="20" t="str">
        <f>HYPERLINK("https://www.ncbi.nlm.nih.gov/protein/XP_018783294.1?report=genbank&amp;log$=prottop&amp;blast_rank=680&amp;RID=DNNRD06A013","XP_018783294.1")</f>
        <v>XP_018783294.1</v>
      </c>
      <c r="B98" s="45">
        <v>331</v>
      </c>
      <c r="C98" s="20" t="s">
        <v>132</v>
      </c>
      <c r="D98" s="21" t="s">
        <v>131</v>
      </c>
      <c r="E98" s="20">
        <v>74.7</v>
      </c>
      <c r="F98" s="20">
        <v>74.7</v>
      </c>
      <c r="G98" s="22">
        <v>0.5</v>
      </c>
      <c r="H98" s="23">
        <v>3E-11</v>
      </c>
      <c r="I98" s="20">
        <v>35.76</v>
      </c>
      <c r="J98" s="20"/>
    </row>
    <row r="99" spans="1:10" x14ac:dyDescent="0.2">
      <c r="A99" s="20" t="str">
        <f>HYPERLINK("https://www.ncbi.nlm.nih.gov/protein/XP_014090369.2?report=genbank&amp;log$=prottop&amp;blast_rank=750&amp;RID=DNNRD06A013","XP_014090369.2")</f>
        <v>XP_014090369.2</v>
      </c>
      <c r="B99" s="45">
        <v>334</v>
      </c>
      <c r="C99" s="20" t="s">
        <v>133</v>
      </c>
      <c r="D99" s="21" t="s">
        <v>134</v>
      </c>
      <c r="E99" s="20">
        <v>65.900000000000006</v>
      </c>
      <c r="F99" s="20">
        <v>65.900000000000006</v>
      </c>
      <c r="G99" s="22">
        <v>0.5</v>
      </c>
      <c r="H99" s="23">
        <v>2.9999999999999997E-8</v>
      </c>
      <c r="I99" s="20">
        <v>32.93</v>
      </c>
      <c r="J99" s="20"/>
    </row>
    <row r="100" spans="1:10" x14ac:dyDescent="0.2">
      <c r="A100" s="20" t="str">
        <f>HYPERLINK("https://www.ncbi.nlm.nih.gov/protein/XP_039950672.1?report=genbank&amp;log$=prottop&amp;blast_rank=722&amp;RID=DNNRD06A013","XP_039950672.1")</f>
        <v>XP_039950672.1</v>
      </c>
      <c r="B100" s="45">
        <v>237</v>
      </c>
      <c r="C100" s="20" t="s">
        <v>135</v>
      </c>
      <c r="D100" s="21" t="s">
        <v>136</v>
      </c>
      <c r="E100" s="20">
        <v>67.400000000000006</v>
      </c>
      <c r="F100" s="20">
        <v>67.400000000000006</v>
      </c>
      <c r="G100" s="22">
        <v>0.51</v>
      </c>
      <c r="H100" s="23">
        <v>4.0000000000000002E-9</v>
      </c>
      <c r="I100" s="20">
        <v>26.32</v>
      </c>
      <c r="J100" s="20"/>
    </row>
    <row r="101" spans="1:10" x14ac:dyDescent="0.2">
      <c r="A101" s="20" t="str">
        <f>HYPERLINK("https://www.ncbi.nlm.nih.gov/protein/XP_039951484.1?report=genbank&amp;log$=prottop&amp;blast_rank=692&amp;RID=DNNRD06A013","XP_039951484.1")</f>
        <v>XP_039951484.1</v>
      </c>
      <c r="B101" s="45">
        <v>660</v>
      </c>
      <c r="C101" s="20" t="s">
        <v>137</v>
      </c>
      <c r="D101" s="21" t="s">
        <v>136</v>
      </c>
      <c r="E101" s="20">
        <v>73.599999999999994</v>
      </c>
      <c r="F101" s="20">
        <v>73.599999999999994</v>
      </c>
      <c r="G101" s="22">
        <v>0.5</v>
      </c>
      <c r="H101" s="23">
        <v>2.0000000000000001E-10</v>
      </c>
      <c r="I101" s="20">
        <v>34.130000000000003</v>
      </c>
      <c r="J101" s="20"/>
    </row>
    <row r="102" spans="1:10" x14ac:dyDescent="0.2">
      <c r="A102" s="20" t="str">
        <f>HYPERLINK("https://www.ncbi.nlm.nih.gov/protein/XP_007168869.1?report=genbank&amp;log$=prottop&amp;blast_rank=31&amp;RID=DNNRD06A013","XP_007168869.1")</f>
        <v>XP_007168869.1</v>
      </c>
      <c r="B102" s="45">
        <v>314</v>
      </c>
      <c r="C102" s="20" t="s">
        <v>138</v>
      </c>
      <c r="D102" s="21" t="s">
        <v>139</v>
      </c>
      <c r="E102" s="20">
        <v>417</v>
      </c>
      <c r="F102" s="20">
        <v>417</v>
      </c>
      <c r="G102" s="22">
        <v>1</v>
      </c>
      <c r="H102" s="23">
        <v>9.9999999999999995E-144</v>
      </c>
      <c r="I102" s="20">
        <v>84.08</v>
      </c>
      <c r="J102" s="20"/>
    </row>
    <row r="103" spans="1:10" x14ac:dyDescent="0.2">
      <c r="A103" s="20" t="str">
        <f>HYPERLINK("https://www.ncbi.nlm.nih.gov/protein/XP_036695987.1?report=genbank&amp;log$=prottop&amp;blast_rank=476&amp;RID=DNNRD06A013","XP_036695987.1")</f>
        <v>XP_036695987.1</v>
      </c>
      <c r="B103" s="45">
        <v>218</v>
      </c>
      <c r="C103" s="20" t="s">
        <v>140</v>
      </c>
      <c r="D103" s="21" t="s">
        <v>141</v>
      </c>
      <c r="E103" s="20">
        <v>110</v>
      </c>
      <c r="F103" s="20">
        <v>110</v>
      </c>
      <c r="G103" s="22">
        <v>0.7</v>
      </c>
      <c r="H103" s="23">
        <v>4.0000000000000002E-25</v>
      </c>
      <c r="I103" s="20">
        <v>38.049999999999997</v>
      </c>
      <c r="J103" s="20"/>
    </row>
    <row r="104" spans="1:10" x14ac:dyDescent="0.2">
      <c r="A104" s="20" t="str">
        <f>HYPERLINK("https://www.ncbi.nlm.nih.gov/protein/XP_036723894.1?report=genbank&amp;log$=prottop&amp;blast_rank=32&amp;RID=DNNRD06A013","XP_036723894.1")</f>
        <v>XP_036723894.1</v>
      </c>
      <c r="B104" s="45">
        <v>314</v>
      </c>
      <c r="C104" s="20" t="s">
        <v>142</v>
      </c>
      <c r="D104" s="21" t="s">
        <v>141</v>
      </c>
      <c r="E104" s="20">
        <v>416</v>
      </c>
      <c r="F104" s="20">
        <v>416</v>
      </c>
      <c r="G104" s="22">
        <v>1</v>
      </c>
      <c r="H104" s="23">
        <v>1.9999999999999999E-143</v>
      </c>
      <c r="I104" s="20">
        <v>83.76</v>
      </c>
      <c r="J104" s="20"/>
    </row>
    <row r="105" spans="1:10" x14ac:dyDescent="0.2">
      <c r="A105" s="20" t="str">
        <f>HYPERLINK("https://www.ncbi.nlm.nih.gov/protein/XP_033222274.1?report=genbank&amp;log$=prottop&amp;blast_rank=894&amp;RID=DNNRD06A013","XP_033222274.1")</f>
        <v>XP_033222274.1</v>
      </c>
      <c r="B105" s="45">
        <v>352</v>
      </c>
      <c r="C105" s="20" t="s">
        <v>143</v>
      </c>
      <c r="D105" s="21" t="s">
        <v>144</v>
      </c>
      <c r="E105" s="20">
        <v>49.7</v>
      </c>
      <c r="F105" s="20">
        <v>49.7</v>
      </c>
      <c r="G105" s="22">
        <v>0.4</v>
      </c>
      <c r="H105" s="20">
        <v>7.0000000000000001E-3</v>
      </c>
      <c r="I105" s="20">
        <v>27.27</v>
      </c>
      <c r="J105" s="20"/>
    </row>
    <row r="106" spans="1:10" x14ac:dyDescent="0.2">
      <c r="A106" s="20" t="str">
        <f>HYPERLINK("https://www.ncbi.nlm.nih.gov/protein/XP_018908545.1?report=genbank&amp;log$=prottop&amp;blast_rank=710&amp;RID=DNNRD06A013","XP_018908545.1")</f>
        <v>XP_018908545.1</v>
      </c>
      <c r="B106" s="45">
        <v>430</v>
      </c>
      <c r="C106" s="20" t="s">
        <v>145</v>
      </c>
      <c r="D106" s="21" t="s">
        <v>146</v>
      </c>
      <c r="E106" s="20">
        <v>72</v>
      </c>
      <c r="F106" s="20">
        <v>72</v>
      </c>
      <c r="G106" s="22">
        <v>0.39</v>
      </c>
      <c r="H106" s="23">
        <v>4.0000000000000001E-10</v>
      </c>
      <c r="I106" s="20">
        <v>35.200000000000003</v>
      </c>
      <c r="J106" s="20"/>
    </row>
    <row r="107" spans="1:10" x14ac:dyDescent="0.2">
      <c r="A107" s="20" t="str">
        <f>HYPERLINK("https://www.ncbi.nlm.nih.gov/protein/XP_023934339.1?report=genbank&amp;log$=prottop&amp;blast_rank=587&amp;RID=DNNRD06A013","XP_023934339.1")</f>
        <v>XP_023934339.1</v>
      </c>
      <c r="B107" s="45">
        <v>271</v>
      </c>
      <c r="C107" s="20" t="s">
        <v>147</v>
      </c>
      <c r="D107" s="21" t="s">
        <v>148</v>
      </c>
      <c r="E107" s="20">
        <v>82.4</v>
      </c>
      <c r="F107" s="20">
        <v>82.4</v>
      </c>
      <c r="G107" s="22">
        <v>0.48</v>
      </c>
      <c r="H107" s="23">
        <v>2.9999999999999998E-14</v>
      </c>
      <c r="I107" s="20">
        <v>33.33</v>
      </c>
      <c r="J107" s="20"/>
    </row>
    <row r="108" spans="1:10" x14ac:dyDescent="0.2">
      <c r="A108" s="20" t="str">
        <f>HYPERLINK("https://www.ncbi.nlm.nih.gov/protein/XP_023934303.1?report=genbank&amp;log$=prottop&amp;blast_rank=736&amp;RID=DNNRD06A013","XP_023934303.1")</f>
        <v>XP_023934303.1</v>
      </c>
      <c r="B108" s="45">
        <v>300</v>
      </c>
      <c r="C108" s="20" t="s">
        <v>149</v>
      </c>
      <c r="D108" s="21" t="s">
        <v>148</v>
      </c>
      <c r="E108" s="20">
        <v>67.400000000000006</v>
      </c>
      <c r="F108" s="20">
        <v>67.400000000000006</v>
      </c>
      <c r="G108" s="22">
        <v>0.47</v>
      </c>
      <c r="H108" s="23">
        <v>6.9999999999999998E-9</v>
      </c>
      <c r="I108" s="20">
        <v>32.24</v>
      </c>
      <c r="J108" s="20"/>
    </row>
    <row r="109" spans="1:10" x14ac:dyDescent="0.2">
      <c r="A109" s="20" t="str">
        <f>HYPERLINK("https://www.ncbi.nlm.nih.gov/protein/XP_013064318.1?report=genbank&amp;log$=prottop&amp;blast_rank=594&amp;RID=DNNRD06A013","XP_013064318.1")</f>
        <v>XP_013064318.1</v>
      </c>
      <c r="B109" s="45">
        <v>362</v>
      </c>
      <c r="C109" s="20" t="s">
        <v>150</v>
      </c>
      <c r="D109" s="21" t="s">
        <v>151</v>
      </c>
      <c r="E109" s="20">
        <v>82.8</v>
      </c>
      <c r="F109" s="20">
        <v>139</v>
      </c>
      <c r="G109" s="22">
        <v>0.67</v>
      </c>
      <c r="H109" s="23">
        <v>5.0000000000000002E-14</v>
      </c>
      <c r="I109" s="20">
        <v>39.35</v>
      </c>
      <c r="J109" s="20"/>
    </row>
    <row r="110" spans="1:10" x14ac:dyDescent="0.2">
      <c r="A110" s="20" t="str">
        <f>HYPERLINK("https://www.ncbi.nlm.nih.gov/protein/XP_010850211.1?report=genbank&amp;log$=prottop&amp;blast_rank=154&amp;RID=DNNRD06A013","XP_010850211.1")</f>
        <v>XP_010850211.1</v>
      </c>
      <c r="B110" s="45">
        <v>315</v>
      </c>
      <c r="C110" s="20" t="s">
        <v>152</v>
      </c>
      <c r="D110" s="21" t="s">
        <v>153</v>
      </c>
      <c r="E110" s="20">
        <v>354</v>
      </c>
      <c r="F110" s="20">
        <v>354</v>
      </c>
      <c r="G110" s="22">
        <v>1</v>
      </c>
      <c r="H110" s="23">
        <v>6.9999999999999997E-119</v>
      </c>
      <c r="I110" s="20">
        <v>76.19</v>
      </c>
      <c r="J110" s="20"/>
    </row>
    <row r="111" spans="1:10" x14ac:dyDescent="0.2">
      <c r="A111" s="20" t="str">
        <f>HYPERLINK("https://www.ncbi.nlm.nih.gov/protein/XP_033308602.1?report=genbank&amp;log$=prottop&amp;blast_rank=606&amp;RID=DNNRD06A013","XP_033308602.1")</f>
        <v>XP_033308602.1</v>
      </c>
      <c r="B111" s="45">
        <v>244</v>
      </c>
      <c r="C111" s="20" t="s">
        <v>154</v>
      </c>
      <c r="D111" s="21" t="s">
        <v>155</v>
      </c>
      <c r="E111" s="20">
        <v>80.099999999999994</v>
      </c>
      <c r="F111" s="20">
        <v>80.099999999999994</v>
      </c>
      <c r="G111" s="22">
        <v>0.68</v>
      </c>
      <c r="H111" s="23">
        <v>1E-13</v>
      </c>
      <c r="I111" s="20">
        <v>28.23</v>
      </c>
      <c r="J111" s="20"/>
    </row>
    <row r="112" spans="1:10" x14ac:dyDescent="0.2">
      <c r="A112" s="20" t="str">
        <f>HYPERLINK("https://www.ncbi.nlm.nih.gov/protein/XP_033308601.1?report=genbank&amp;log$=prottop&amp;blast_rank=825&amp;RID=DNNRD06A013","XP_033308601.1")</f>
        <v>XP_033308601.1</v>
      </c>
      <c r="B112" s="45">
        <v>326</v>
      </c>
      <c r="C112" s="20" t="s">
        <v>156</v>
      </c>
      <c r="D112" s="21" t="s">
        <v>155</v>
      </c>
      <c r="E112" s="20">
        <v>57.8</v>
      </c>
      <c r="F112" s="20">
        <v>57.8</v>
      </c>
      <c r="G112" s="22">
        <v>0.53</v>
      </c>
      <c r="H112" s="23">
        <v>1.0000000000000001E-5</v>
      </c>
      <c r="I112" s="20">
        <v>30.41</v>
      </c>
      <c r="J112" s="20"/>
    </row>
    <row r="113" spans="1:10" x14ac:dyDescent="0.2">
      <c r="A113" s="20" t="str">
        <f>HYPERLINK("https://www.ncbi.nlm.nih.gov/protein/XP_012241040.1?report=genbank&amp;log$=prottop&amp;blast_rank=627&amp;RID=DNNRD06A013","XP_012241040.1")</f>
        <v>XP_012241040.1</v>
      </c>
      <c r="B113" s="45">
        <v>244</v>
      </c>
      <c r="C113" s="20" t="s">
        <v>157</v>
      </c>
      <c r="D113" s="21" t="s">
        <v>158</v>
      </c>
      <c r="E113" s="20">
        <v>78.2</v>
      </c>
      <c r="F113" s="20">
        <v>78.2</v>
      </c>
      <c r="G113" s="22">
        <v>0.68</v>
      </c>
      <c r="H113" s="23">
        <v>7.0000000000000005E-13</v>
      </c>
      <c r="I113" s="20">
        <v>27.78</v>
      </c>
      <c r="J113" s="20"/>
    </row>
    <row r="114" spans="1:10" x14ac:dyDescent="0.2">
      <c r="A114" s="20" t="str">
        <f>HYPERLINK("https://www.ncbi.nlm.nih.gov/protein/XP_012241039.1?report=genbank&amp;log$=prottop&amp;blast_rank=853&amp;RID=DNNRD06A013","XP_012241039.1")</f>
        <v>XP_012241039.1</v>
      </c>
      <c r="B114" s="45">
        <v>326</v>
      </c>
      <c r="C114" s="20" t="s">
        <v>159</v>
      </c>
      <c r="D114" s="21" t="s">
        <v>158</v>
      </c>
      <c r="E114" s="20">
        <v>56.2</v>
      </c>
      <c r="F114" s="20">
        <v>56.2</v>
      </c>
      <c r="G114" s="22">
        <v>0.41</v>
      </c>
      <c r="H114" s="23">
        <v>5.0000000000000002E-5</v>
      </c>
      <c r="I114" s="20">
        <v>34.590000000000003</v>
      </c>
      <c r="J114" s="20"/>
    </row>
    <row r="115" spans="1:10" x14ac:dyDescent="0.2">
      <c r="A115" s="20" t="str">
        <f>HYPERLINK("https://www.ncbi.nlm.nih.gov/protein/XP_043586844.1?report=genbank&amp;log$=prottop&amp;blast_rank=582&amp;RID=DNNRD06A013","XP_043586844.1")</f>
        <v>XP_043586844.1</v>
      </c>
      <c r="B115" s="45">
        <v>244</v>
      </c>
      <c r="C115" s="20" t="s">
        <v>160</v>
      </c>
      <c r="D115" s="21" t="s">
        <v>161</v>
      </c>
      <c r="E115" s="20">
        <v>82.8</v>
      </c>
      <c r="F115" s="20">
        <v>82.8</v>
      </c>
      <c r="G115" s="22">
        <v>0.68</v>
      </c>
      <c r="H115" s="23">
        <v>1E-14</v>
      </c>
      <c r="I115" s="20">
        <v>28.23</v>
      </c>
      <c r="J115" s="20"/>
    </row>
    <row r="116" spans="1:10" x14ac:dyDescent="0.2">
      <c r="A116" s="20" t="str">
        <f>HYPERLINK("https://www.ncbi.nlm.nih.gov/protein/XP_043586846.1?report=genbank&amp;log$=prottop&amp;blast_rank=557&amp;RID=DNNRD06A013","XP_043586846.1")</f>
        <v>XP_043586846.1</v>
      </c>
      <c r="B116" s="45">
        <v>201</v>
      </c>
      <c r="C116" s="20" t="s">
        <v>162</v>
      </c>
      <c r="D116" s="21" t="s">
        <v>161</v>
      </c>
      <c r="E116" s="20">
        <v>85.1</v>
      </c>
      <c r="F116" s="20">
        <v>85.1</v>
      </c>
      <c r="G116" s="22">
        <v>0.68</v>
      </c>
      <c r="H116" s="23">
        <v>7.9999999999999998E-16</v>
      </c>
      <c r="I116" s="20">
        <v>31.19</v>
      </c>
      <c r="J116" s="20"/>
    </row>
    <row r="117" spans="1:10" x14ac:dyDescent="0.2">
      <c r="A117" s="20" t="str">
        <f>HYPERLINK("https://www.ncbi.nlm.nih.gov/protein/XP_043586838.1?report=genbank&amp;log$=prottop&amp;blast_rank=813&amp;RID=DNNRD06A013","XP_043586838.1")</f>
        <v>XP_043586838.1</v>
      </c>
      <c r="B117" s="45">
        <v>326</v>
      </c>
      <c r="C117" s="20" t="s">
        <v>163</v>
      </c>
      <c r="D117" s="21" t="s">
        <v>161</v>
      </c>
      <c r="E117" s="20">
        <v>58.9</v>
      </c>
      <c r="F117" s="20">
        <v>58.9</v>
      </c>
      <c r="G117" s="22">
        <v>0.41</v>
      </c>
      <c r="H117" s="23">
        <v>6.0000000000000002E-6</v>
      </c>
      <c r="I117" s="20">
        <v>35.340000000000003</v>
      </c>
      <c r="J117" s="20"/>
    </row>
    <row r="118" spans="1:10" x14ac:dyDescent="0.2">
      <c r="A118" s="20" t="str">
        <f>HYPERLINK("https://www.ncbi.nlm.nih.gov/protein/XP_043586843.1?report=genbank&amp;log$=prottop&amp;blast_rank=801&amp;RID=DNNRD06A013","XP_043586843.1")</f>
        <v>XP_043586843.1</v>
      </c>
      <c r="B118" s="45">
        <v>299</v>
      </c>
      <c r="C118" s="20" t="s">
        <v>164</v>
      </c>
      <c r="D118" s="21" t="s">
        <v>161</v>
      </c>
      <c r="E118" s="20">
        <v>59.3</v>
      </c>
      <c r="F118" s="20">
        <v>59.3</v>
      </c>
      <c r="G118" s="22">
        <v>0.41</v>
      </c>
      <c r="H118" s="23">
        <v>3.9999999999999998E-6</v>
      </c>
      <c r="I118" s="20">
        <v>35.340000000000003</v>
      </c>
      <c r="J118" s="20"/>
    </row>
    <row r="119" spans="1:10" x14ac:dyDescent="0.2">
      <c r="A119" s="20" t="str">
        <f>HYPERLINK("https://www.ncbi.nlm.nih.gov/protein/XP_012166119.1?report=genbank&amp;log$=prottop&amp;blast_rank=571&amp;RID=DNNRD06A013","XP_012166119.1")</f>
        <v>XP_012166119.1</v>
      </c>
      <c r="B119" s="45">
        <v>244</v>
      </c>
      <c r="C119" s="20" t="s">
        <v>165</v>
      </c>
      <c r="D119" s="21" t="s">
        <v>166</v>
      </c>
      <c r="E119" s="20">
        <v>83.6</v>
      </c>
      <c r="F119" s="20">
        <v>83.6</v>
      </c>
      <c r="G119" s="22">
        <v>0.68</v>
      </c>
      <c r="H119" s="23">
        <v>7.0000000000000001E-15</v>
      </c>
      <c r="I119" s="20">
        <v>28.23</v>
      </c>
      <c r="J119" s="20"/>
    </row>
    <row r="120" spans="1:10" x14ac:dyDescent="0.2">
      <c r="A120" s="20" t="str">
        <f>HYPERLINK("https://www.ncbi.nlm.nih.gov/protein/XP_003396954.1?report=genbank&amp;log$=prottop&amp;blast_rank=843&amp;RID=DNNRD06A013","XP_003396954.1")</f>
        <v>XP_003396954.1</v>
      </c>
      <c r="B120" s="45">
        <v>326</v>
      </c>
      <c r="C120" s="20" t="s">
        <v>167</v>
      </c>
      <c r="D120" s="21" t="s">
        <v>166</v>
      </c>
      <c r="E120" s="20">
        <v>57</v>
      </c>
      <c r="F120" s="20">
        <v>105</v>
      </c>
      <c r="G120" s="22">
        <v>0.56000000000000005</v>
      </c>
      <c r="H120" s="23">
        <v>3.0000000000000001E-5</v>
      </c>
      <c r="I120" s="20">
        <v>34.619999999999997</v>
      </c>
      <c r="J120" s="20"/>
    </row>
    <row r="121" spans="1:10" x14ac:dyDescent="0.2">
      <c r="A121" s="20" t="str">
        <f>HYPERLINK("https://www.ncbi.nlm.nih.gov/protein/XP_033195071.1?report=genbank&amp;log$=prottop&amp;blast_rank=616&amp;RID=DNNRD06A013","XP_033195071.1")</f>
        <v>XP_033195071.1</v>
      </c>
      <c r="B121" s="45">
        <v>244</v>
      </c>
      <c r="C121" s="20" t="s">
        <v>168</v>
      </c>
      <c r="D121" s="21" t="s">
        <v>169</v>
      </c>
      <c r="E121" s="20">
        <v>79.3</v>
      </c>
      <c r="F121" s="20">
        <v>79.3</v>
      </c>
      <c r="G121" s="22">
        <v>0.68</v>
      </c>
      <c r="H121" s="23">
        <v>2.9999999999999998E-13</v>
      </c>
      <c r="I121" s="20">
        <v>27.31</v>
      </c>
      <c r="J121" s="20"/>
    </row>
    <row r="122" spans="1:10" x14ac:dyDescent="0.2">
      <c r="A122" s="20" t="str">
        <f>HYPERLINK("https://www.ncbi.nlm.nih.gov/protein/XP_033364354.1?report=genbank&amp;log$=prottop&amp;blast_rank=605&amp;RID=DNNRD06A013","XP_033364354.1")</f>
        <v>XP_033364354.1</v>
      </c>
      <c r="B122" s="45">
        <v>244</v>
      </c>
      <c r="C122" s="20" t="s">
        <v>170</v>
      </c>
      <c r="D122" s="21" t="s">
        <v>171</v>
      </c>
      <c r="E122" s="20">
        <v>80.099999999999994</v>
      </c>
      <c r="F122" s="20">
        <v>80.099999999999994</v>
      </c>
      <c r="G122" s="22">
        <v>0.68</v>
      </c>
      <c r="H122" s="23">
        <v>1E-13</v>
      </c>
      <c r="I122" s="20">
        <v>28.23</v>
      </c>
      <c r="J122" s="20"/>
    </row>
    <row r="123" spans="1:10" x14ac:dyDescent="0.2">
      <c r="A123" s="20" t="str">
        <f>HYPERLINK("https://www.ncbi.nlm.nih.gov/protein/XP_033364353.1?report=genbank&amp;log$=prottop&amp;blast_rank=826&amp;RID=DNNRD06A013","XP_033364353.1")</f>
        <v>XP_033364353.1</v>
      </c>
      <c r="B123" s="45">
        <v>326</v>
      </c>
      <c r="C123" s="20" t="s">
        <v>172</v>
      </c>
      <c r="D123" s="21" t="s">
        <v>171</v>
      </c>
      <c r="E123" s="20">
        <v>57.8</v>
      </c>
      <c r="F123" s="20">
        <v>57.8</v>
      </c>
      <c r="G123" s="22">
        <v>0.53</v>
      </c>
      <c r="H123" s="23">
        <v>1.0000000000000001E-5</v>
      </c>
      <c r="I123" s="20">
        <v>30.41</v>
      </c>
      <c r="J123" s="20"/>
    </row>
    <row r="124" spans="1:10" x14ac:dyDescent="0.2">
      <c r="A124" s="20" t="str">
        <f>HYPERLINK("https://www.ncbi.nlm.nih.gov/protein/XP_028041297.1?report=genbank&amp;log$=prottop&amp;blast_rank=614&amp;RID=DNNRD06A013","XP_028041297.1")</f>
        <v>XP_028041297.1</v>
      </c>
      <c r="B124" s="45">
        <v>278</v>
      </c>
      <c r="C124" s="20" t="s">
        <v>173</v>
      </c>
      <c r="D124" s="21" t="s">
        <v>174</v>
      </c>
      <c r="E124" s="20">
        <v>79.7</v>
      </c>
      <c r="F124" s="20">
        <v>79.7</v>
      </c>
      <c r="G124" s="22">
        <v>0.7</v>
      </c>
      <c r="H124" s="23">
        <v>2.0000000000000001E-13</v>
      </c>
      <c r="I124" s="20">
        <v>26.16</v>
      </c>
      <c r="J124" s="20"/>
    </row>
    <row r="125" spans="1:10" x14ac:dyDescent="0.2">
      <c r="A125" s="20" t="str">
        <f>HYPERLINK("https://www.ncbi.nlm.nih.gov/protein/XP_028027588.1?report=genbank&amp;log$=prottop&amp;blast_rank=705&amp;RID=DNNRD06A013","XP_028027588.1")</f>
        <v>XP_028027588.1</v>
      </c>
      <c r="B125" s="45">
        <v>300</v>
      </c>
      <c r="C125" s="20" t="s">
        <v>175</v>
      </c>
      <c r="D125" s="21" t="s">
        <v>174</v>
      </c>
      <c r="E125" s="20">
        <v>71.2</v>
      </c>
      <c r="F125" s="20">
        <v>71.2</v>
      </c>
      <c r="G125" s="22">
        <v>0.5</v>
      </c>
      <c r="H125" s="23">
        <v>3E-10</v>
      </c>
      <c r="I125" s="20">
        <v>33.54</v>
      </c>
      <c r="J125" s="20"/>
    </row>
    <row r="126" spans="1:10" x14ac:dyDescent="0.2">
      <c r="A126" s="20" t="str">
        <f>HYPERLINK("https://www.ncbi.nlm.nih.gov/protein/XP_004926946.1?report=genbank&amp;log$=prottop&amp;blast_rank=615&amp;RID=DNNRD06A013","XP_004926946.1")</f>
        <v>XP_004926946.1</v>
      </c>
      <c r="B126" s="45">
        <v>278</v>
      </c>
      <c r="C126" s="20" t="s">
        <v>176</v>
      </c>
      <c r="D126" s="21" t="s">
        <v>177</v>
      </c>
      <c r="E126" s="20">
        <v>79.7</v>
      </c>
      <c r="F126" s="20">
        <v>79.7</v>
      </c>
      <c r="G126" s="22">
        <v>0.7</v>
      </c>
      <c r="H126" s="23">
        <v>2.9999999999999998E-13</v>
      </c>
      <c r="I126" s="20">
        <v>24.55</v>
      </c>
      <c r="J126" s="20"/>
    </row>
    <row r="127" spans="1:10" x14ac:dyDescent="0.2">
      <c r="A127" s="20" t="str">
        <f>HYPERLINK("https://www.ncbi.nlm.nih.gov/protein/XP_004923125.1?report=genbank&amp;log$=prottop&amp;blast_rank=703&amp;RID=DNNRD06A013","XP_004923125.1")</f>
        <v>XP_004923125.1</v>
      </c>
      <c r="B127" s="45">
        <v>300</v>
      </c>
      <c r="C127" s="20" t="s">
        <v>178</v>
      </c>
      <c r="D127" s="21" t="s">
        <v>177</v>
      </c>
      <c r="E127" s="20">
        <v>71.599999999999994</v>
      </c>
      <c r="F127" s="20">
        <v>71.599999999999994</v>
      </c>
      <c r="G127" s="22">
        <v>0.5</v>
      </c>
      <c r="H127" s="23">
        <v>3E-10</v>
      </c>
      <c r="I127" s="20">
        <v>33.54</v>
      </c>
      <c r="J127" s="20"/>
    </row>
    <row r="128" spans="1:10" x14ac:dyDescent="0.2">
      <c r="A128" s="20" t="str">
        <f>HYPERLINK("https://www.ncbi.nlm.nih.gov/protein/XP_019840380.1?report=genbank&amp;log$=prottop&amp;blast_rank=155&amp;RID=DNNRD06A013","XP_019840380.1")</f>
        <v>XP_019840380.1</v>
      </c>
      <c r="B128" s="45">
        <v>315</v>
      </c>
      <c r="C128" s="20" t="s">
        <v>179</v>
      </c>
      <c r="D128" s="21" t="s">
        <v>180</v>
      </c>
      <c r="E128" s="20">
        <v>354</v>
      </c>
      <c r="F128" s="20">
        <v>354</v>
      </c>
      <c r="G128" s="22">
        <v>1</v>
      </c>
      <c r="H128" s="23">
        <v>6.9999999999999997E-119</v>
      </c>
      <c r="I128" s="20">
        <v>76.19</v>
      </c>
      <c r="J128" s="20"/>
    </row>
    <row r="129" spans="1:10" x14ac:dyDescent="0.2">
      <c r="A129" s="20" t="str">
        <f>HYPERLINK("https://www.ncbi.nlm.nih.gov/protein/XP_027391245.1?report=genbank&amp;log$=prottop&amp;blast_rank=526&amp;RID=DNNRD06A013","XP_027391245.1")</f>
        <v>XP_027391245.1</v>
      </c>
      <c r="B129" s="45">
        <v>224</v>
      </c>
      <c r="C129" s="20" t="s">
        <v>181</v>
      </c>
      <c r="D129" s="21" t="s">
        <v>182</v>
      </c>
      <c r="E129" s="20">
        <v>93.2</v>
      </c>
      <c r="F129" s="20">
        <v>93.2</v>
      </c>
      <c r="G129" s="22">
        <v>0.49</v>
      </c>
      <c r="H129" s="23">
        <v>1.0000000000000001E-18</v>
      </c>
      <c r="I129" s="20">
        <v>44.87</v>
      </c>
      <c r="J129" s="20"/>
    </row>
    <row r="130" spans="1:10" x14ac:dyDescent="0.2">
      <c r="A130" s="20" t="str">
        <f>HYPERLINK("https://www.ncbi.nlm.nih.gov/protein/XP_005911089.1?report=genbank&amp;log$=prottop&amp;blast_rank=513&amp;RID=DNNRD06A013","XP_005911089.1")</f>
        <v>XP_005911089.1</v>
      </c>
      <c r="B130" s="45">
        <v>189</v>
      </c>
      <c r="C130" s="20" t="s">
        <v>183</v>
      </c>
      <c r="D130" s="21" t="s">
        <v>184</v>
      </c>
      <c r="E130" s="20">
        <v>96.7</v>
      </c>
      <c r="F130" s="20">
        <v>96.7</v>
      </c>
      <c r="G130" s="22">
        <v>0.49</v>
      </c>
      <c r="H130" s="23">
        <v>3.0000000000000003E-20</v>
      </c>
      <c r="I130" s="20">
        <v>45.51</v>
      </c>
      <c r="J130" s="20"/>
    </row>
    <row r="131" spans="1:10" x14ac:dyDescent="0.2">
      <c r="A131" s="20" t="str">
        <f>HYPERLINK("https://www.ncbi.nlm.nih.gov/protein/XP_005909403.1?report=genbank&amp;log$=prottop&amp;blast_rank=161&amp;RID=DNNRD06A013","XP_005909403.1")</f>
        <v>XP_005909403.1</v>
      </c>
      <c r="B131" s="45">
        <v>315</v>
      </c>
      <c r="C131" s="20" t="s">
        <v>185</v>
      </c>
      <c r="D131" s="21" t="s">
        <v>184</v>
      </c>
      <c r="E131" s="20">
        <v>348</v>
      </c>
      <c r="F131" s="20">
        <v>348</v>
      </c>
      <c r="G131" s="22">
        <v>1</v>
      </c>
      <c r="H131" s="23">
        <v>8.0000000000000002E-117</v>
      </c>
      <c r="I131" s="20">
        <v>76.19</v>
      </c>
      <c r="J131" s="20"/>
    </row>
    <row r="132" spans="1:10" x14ac:dyDescent="0.2">
      <c r="A132" s="20" t="str">
        <f>HYPERLINK("https://www.ncbi.nlm.nih.gov/protein/XP_010819903.1?report=genbank&amp;log$=prottop&amp;blast_rank=530&amp;RID=DNNRD06A013","XP_010819903.1")</f>
        <v>XP_010819903.1</v>
      </c>
      <c r="B132" s="45">
        <v>207</v>
      </c>
      <c r="C132" s="20" t="s">
        <v>186</v>
      </c>
      <c r="D132" s="21" t="s">
        <v>187</v>
      </c>
      <c r="E132" s="20">
        <v>92.4</v>
      </c>
      <c r="F132" s="20">
        <v>92.4</v>
      </c>
      <c r="G132" s="22">
        <v>0.49</v>
      </c>
      <c r="H132" s="23">
        <v>2.0000000000000001E-18</v>
      </c>
      <c r="I132" s="20">
        <v>44.87</v>
      </c>
      <c r="J132" s="20"/>
    </row>
    <row r="133" spans="1:10" x14ac:dyDescent="0.2">
      <c r="A133" s="20" t="str">
        <f>HYPERLINK("https://www.ncbi.nlm.nih.gov/protein/NP_776900.2?report=genbank&amp;log$=prottop&amp;blast_rank=152&amp;RID=DNNRD06A013","NP_776900.2")</f>
        <v>NP_776900.2</v>
      </c>
      <c r="B133" s="45">
        <v>315</v>
      </c>
      <c r="C133" s="20" t="s">
        <v>188</v>
      </c>
      <c r="D133" s="21" t="s">
        <v>187</v>
      </c>
      <c r="E133" s="20">
        <v>356</v>
      </c>
      <c r="F133" s="20">
        <v>356</v>
      </c>
      <c r="G133" s="22">
        <v>1</v>
      </c>
      <c r="H133" s="23">
        <v>1E-119</v>
      </c>
      <c r="I133" s="20">
        <v>76.510000000000005</v>
      </c>
      <c r="J133" s="20"/>
    </row>
    <row r="134" spans="1:10" x14ac:dyDescent="0.2">
      <c r="A134" s="20" t="str">
        <f>HYPERLINK("https://www.ncbi.nlm.nih.gov/protein/XP_037030865.1?report=genbank&amp;log$=prottop&amp;blast_rank=540&amp;RID=DNNRD06A013","XP_037030865.1")</f>
        <v>XP_037030865.1</v>
      </c>
      <c r="B134" s="45">
        <v>355</v>
      </c>
      <c r="C134" s="20" t="s">
        <v>189</v>
      </c>
      <c r="D134" s="21" t="s">
        <v>190</v>
      </c>
      <c r="E134" s="20">
        <v>92.8</v>
      </c>
      <c r="F134" s="20">
        <v>92.8</v>
      </c>
      <c r="G134" s="22">
        <v>0.47</v>
      </c>
      <c r="H134" s="23">
        <v>2.0000000000000001E-17</v>
      </c>
      <c r="I134" s="20">
        <v>40.4</v>
      </c>
      <c r="J134" s="20"/>
    </row>
    <row r="135" spans="1:10" x14ac:dyDescent="0.2">
      <c r="A135" s="20" t="str">
        <f>HYPERLINK("https://www.ncbi.nlm.nih.gov/protein/XP_019646293.1?report=genbank&amp;log$=prottop&amp;blast_rank=462&amp;RID=DNNRD06A013","XP_019646293.1")</f>
        <v>XP_019646293.1</v>
      </c>
      <c r="B135" s="45">
        <v>233</v>
      </c>
      <c r="C135" s="20" t="s">
        <v>191</v>
      </c>
      <c r="D135" s="21" t="s">
        <v>192</v>
      </c>
      <c r="E135" s="20">
        <v>118</v>
      </c>
      <c r="F135" s="20">
        <v>118</v>
      </c>
      <c r="G135" s="22">
        <v>0.7</v>
      </c>
      <c r="H135" s="23">
        <v>3.9999999999999999E-28</v>
      </c>
      <c r="I135" s="20">
        <v>37.049999999999997</v>
      </c>
      <c r="J135" s="20"/>
    </row>
    <row r="136" spans="1:10" x14ac:dyDescent="0.2">
      <c r="A136" s="20" t="str">
        <f>HYPERLINK("https://www.ncbi.nlm.nih.gov/protein/XP_019625599.1?report=genbank&amp;log$=prottop&amp;blast_rank=464&amp;RID=DNNRD06A013","XP_019625599.1")</f>
        <v>XP_019625599.1</v>
      </c>
      <c r="B136" s="45">
        <v>459</v>
      </c>
      <c r="C136" s="20" t="s">
        <v>193</v>
      </c>
      <c r="D136" s="21" t="s">
        <v>192</v>
      </c>
      <c r="E136" s="20">
        <v>123</v>
      </c>
      <c r="F136" s="20">
        <v>223</v>
      </c>
      <c r="G136" s="22">
        <v>0.71</v>
      </c>
      <c r="H136" s="23">
        <v>5.0000000000000002E-28</v>
      </c>
      <c r="I136" s="20">
        <v>39.299999999999997</v>
      </c>
      <c r="J136" s="20"/>
    </row>
    <row r="137" spans="1:10" x14ac:dyDescent="0.2">
      <c r="A137" s="20" t="str">
        <f>HYPERLINK("https://www.ncbi.nlm.nih.gov/protein/XP_035682623.1?report=genbank&amp;log$=prottop&amp;blast_rank=448&amp;RID=DNNRD06A013","XP_035682623.1")</f>
        <v>XP_035682623.1</v>
      </c>
      <c r="B137" s="45">
        <v>249</v>
      </c>
      <c r="C137" s="20" t="s">
        <v>194</v>
      </c>
      <c r="D137" s="21" t="s">
        <v>195</v>
      </c>
      <c r="E137" s="20">
        <v>127</v>
      </c>
      <c r="F137" s="20">
        <v>127</v>
      </c>
      <c r="G137" s="22">
        <v>0.72</v>
      </c>
      <c r="H137" s="23">
        <v>2.9999999999999998E-31</v>
      </c>
      <c r="I137" s="20">
        <v>39.39</v>
      </c>
      <c r="J137" s="20"/>
    </row>
    <row r="138" spans="1:10" x14ac:dyDescent="0.2">
      <c r="A138" s="20" t="str">
        <f>HYPERLINK("https://www.ncbi.nlm.nih.gov/protein/XP_035695625.1?report=genbank&amp;log$=prottop&amp;blast_rank=475&amp;RID=DNNRD06A013","XP_035695625.1")</f>
        <v>XP_035695625.1</v>
      </c>
      <c r="B138" s="45">
        <v>231</v>
      </c>
      <c r="C138" s="20" t="s">
        <v>196</v>
      </c>
      <c r="D138" s="21" t="s">
        <v>195</v>
      </c>
      <c r="E138" s="20">
        <v>111</v>
      </c>
      <c r="F138" s="20">
        <v>111</v>
      </c>
      <c r="G138" s="22">
        <v>0.7</v>
      </c>
      <c r="H138" s="23">
        <v>2.9999999999999998E-25</v>
      </c>
      <c r="I138" s="20">
        <v>37.549999999999997</v>
      </c>
      <c r="J138" s="20"/>
    </row>
    <row r="139" spans="1:10" x14ac:dyDescent="0.2">
      <c r="A139" s="20" t="str">
        <f>HYPERLINK("https://www.ncbi.nlm.nih.gov/protein/XP_035694501.1?report=genbank&amp;log$=prottop&amp;blast_rank=441&amp;RID=DNNRD06A013","XP_035694501.1")</f>
        <v>XP_035694501.1</v>
      </c>
      <c r="B139" s="45">
        <v>241</v>
      </c>
      <c r="C139" s="20" t="s">
        <v>196</v>
      </c>
      <c r="D139" s="21" t="s">
        <v>195</v>
      </c>
      <c r="E139" s="20">
        <v>133</v>
      </c>
      <c r="F139" s="20">
        <v>133</v>
      </c>
      <c r="G139" s="22">
        <v>0.71</v>
      </c>
      <c r="H139" s="23">
        <v>1.0000000000000001E-33</v>
      </c>
      <c r="I139" s="20">
        <v>40.17</v>
      </c>
      <c r="J139" s="20"/>
    </row>
    <row r="140" spans="1:10" x14ac:dyDescent="0.2">
      <c r="A140" s="20" t="str">
        <f>HYPERLINK("https://www.ncbi.nlm.nih.gov/protein/XP_006043764.2?report=genbank&amp;log$=prottop&amp;blast_rank=287&amp;RID=DNNRD06A013","XP_006043764.2")</f>
        <v>XP_006043764.2</v>
      </c>
      <c r="B140" s="45">
        <v>239</v>
      </c>
      <c r="C140" s="20" t="s">
        <v>197</v>
      </c>
      <c r="D140" s="21" t="s">
        <v>198</v>
      </c>
      <c r="E140" s="20">
        <v>152</v>
      </c>
      <c r="F140" s="20">
        <v>152</v>
      </c>
      <c r="G140" s="22">
        <v>0.73</v>
      </c>
      <c r="H140" s="23">
        <v>4.9999999999999996E-41</v>
      </c>
      <c r="I140" s="20">
        <v>44.49</v>
      </c>
      <c r="J140" s="20"/>
    </row>
    <row r="141" spans="1:10" x14ac:dyDescent="0.2">
      <c r="A141" s="20" t="str">
        <f>HYPERLINK("https://www.ncbi.nlm.nih.gov/protein/XP_006065231.2?report=genbank&amp;log$=prottop&amp;blast_rank=117&amp;RID=DNNRD06A013","XP_006065231.2")</f>
        <v>XP_006065231.2</v>
      </c>
      <c r="B141" s="45">
        <v>315</v>
      </c>
      <c r="C141" s="20" t="s">
        <v>199</v>
      </c>
      <c r="D141" s="21" t="s">
        <v>198</v>
      </c>
      <c r="E141" s="20">
        <v>378</v>
      </c>
      <c r="F141" s="20">
        <v>378</v>
      </c>
      <c r="G141" s="22">
        <v>1</v>
      </c>
      <c r="H141" s="23">
        <v>2.0000000000000001E-128</v>
      </c>
      <c r="I141" s="20">
        <v>76.19</v>
      </c>
      <c r="J141" s="20"/>
    </row>
    <row r="142" spans="1:10" x14ac:dyDescent="0.2">
      <c r="A142" s="20" t="str">
        <f>HYPERLINK("https://www.ncbi.nlm.nih.gov/protein/XP_040261259.1?report=genbank&amp;log$=prottop&amp;blast_rank=437&amp;RID=DNNRD06A013","XP_040261259.1")</f>
        <v>XP_040261259.1</v>
      </c>
      <c r="B142" s="45">
        <v>219</v>
      </c>
      <c r="C142" s="20" t="s">
        <v>200</v>
      </c>
      <c r="D142" s="21" t="s">
        <v>201</v>
      </c>
      <c r="E142" s="20">
        <v>134</v>
      </c>
      <c r="F142" s="20">
        <v>134</v>
      </c>
      <c r="G142" s="22">
        <v>0.7</v>
      </c>
      <c r="H142" s="23">
        <v>3E-34</v>
      </c>
      <c r="I142" s="20">
        <v>42.04</v>
      </c>
      <c r="J142" s="20"/>
    </row>
    <row r="143" spans="1:10" x14ac:dyDescent="0.2">
      <c r="A143" s="20" t="str">
        <f>HYPERLINK("https://www.ncbi.nlm.nih.gov/protein/XP_044162092.1?report=genbank&amp;log$=prottop&amp;blast_rank=438&amp;RID=DNNRD06A013","XP_044162092.1")</f>
        <v>XP_044162092.1</v>
      </c>
      <c r="B143" s="45">
        <v>219</v>
      </c>
      <c r="C143" s="20" t="s">
        <v>202</v>
      </c>
      <c r="D143" s="21" t="s">
        <v>203</v>
      </c>
      <c r="E143" s="20">
        <v>134</v>
      </c>
      <c r="F143" s="20">
        <v>134</v>
      </c>
      <c r="G143" s="22">
        <v>0.7</v>
      </c>
      <c r="H143" s="23">
        <v>3E-34</v>
      </c>
      <c r="I143" s="20">
        <v>42.67</v>
      </c>
      <c r="J143" s="20"/>
    </row>
    <row r="144" spans="1:10" x14ac:dyDescent="0.2">
      <c r="A144" s="20" t="str">
        <f>HYPERLINK("https://www.ncbi.nlm.nih.gov/protein/XP_035143897.1?report=genbank&amp;log$=prottop&amp;blast_rank=374&amp;RID=DNNRD06A013","XP_035143897.1")</f>
        <v>XP_035143897.1</v>
      </c>
      <c r="B144" s="45">
        <v>236</v>
      </c>
      <c r="C144" s="20" t="s">
        <v>204</v>
      </c>
      <c r="D144" s="21" t="s">
        <v>205</v>
      </c>
      <c r="E144" s="20">
        <v>148</v>
      </c>
      <c r="F144" s="20">
        <v>148</v>
      </c>
      <c r="G144" s="22">
        <v>0.71</v>
      </c>
      <c r="H144" s="23">
        <v>1.9999999999999999E-39</v>
      </c>
      <c r="I144" s="20">
        <v>45.18</v>
      </c>
      <c r="J144" s="20"/>
    </row>
    <row r="145" spans="1:10" x14ac:dyDescent="0.2">
      <c r="A145" s="20" t="str">
        <f>HYPERLINK("https://www.ncbi.nlm.nih.gov/protein/XP_008979843.1?report=genbank&amp;log$=prottop&amp;blast_rank=23&amp;RID=DNNRD06A013","XP_008979843.1")</f>
        <v>XP_008979843.1</v>
      </c>
      <c r="B145" s="45">
        <v>314</v>
      </c>
      <c r="C145" s="20" t="s">
        <v>206</v>
      </c>
      <c r="D145" s="21" t="s">
        <v>205</v>
      </c>
      <c r="E145" s="20">
        <v>440</v>
      </c>
      <c r="F145" s="20">
        <v>440</v>
      </c>
      <c r="G145" s="22">
        <v>1</v>
      </c>
      <c r="H145" s="23">
        <v>6E-153</v>
      </c>
      <c r="I145" s="20">
        <v>92.04</v>
      </c>
      <c r="J145" s="20"/>
    </row>
    <row r="146" spans="1:10" x14ac:dyDescent="0.2">
      <c r="A146" s="20" t="str">
        <f>HYPERLINK("https://www.ncbi.nlm.nih.gov/protein/XP_025718595.1?report=genbank&amp;log$=prottop&amp;blast_rank=366&amp;RID=DNNRD06A013","XP_025718595.1")</f>
        <v>XP_025718595.1</v>
      </c>
      <c r="B146" s="45">
        <v>301</v>
      </c>
      <c r="C146" s="20" t="s">
        <v>207</v>
      </c>
      <c r="D146" s="21" t="s">
        <v>208</v>
      </c>
      <c r="E146" s="20">
        <v>151</v>
      </c>
      <c r="F146" s="20">
        <v>151</v>
      </c>
      <c r="G146" s="22">
        <v>0.7</v>
      </c>
      <c r="H146" s="23">
        <v>9.9999999999999993E-40</v>
      </c>
      <c r="I146" s="20">
        <v>47.35</v>
      </c>
      <c r="J146" s="20"/>
    </row>
    <row r="147" spans="1:10" x14ac:dyDescent="0.2">
      <c r="A147" s="20" t="str">
        <f>HYPERLINK("https://www.ncbi.nlm.nih.gov/protein/XP_025740584.1?report=genbank&amp;log$=prottop&amp;blast_rank=46&amp;RID=DNNRD06A013","XP_025740584.1")</f>
        <v>XP_025740584.1</v>
      </c>
      <c r="B147" s="45">
        <v>314</v>
      </c>
      <c r="C147" s="20" t="s">
        <v>209</v>
      </c>
      <c r="D147" s="21" t="s">
        <v>208</v>
      </c>
      <c r="E147" s="20">
        <v>405</v>
      </c>
      <c r="F147" s="20">
        <v>405</v>
      </c>
      <c r="G147" s="22">
        <v>1</v>
      </c>
      <c r="H147" s="23">
        <v>2.9999999999999999E-139</v>
      </c>
      <c r="I147" s="20">
        <v>81.53</v>
      </c>
      <c r="J147" s="20"/>
    </row>
    <row r="148" spans="1:10" x14ac:dyDescent="0.2">
      <c r="A148" s="20" t="str">
        <f>HYPERLINK("https://www.ncbi.nlm.nih.gov/protein/XP_010962411.1?report=genbank&amp;log$=prottop&amp;blast_rank=391&amp;RID=DNNRD06A013","XP_010962411.1")</f>
        <v>XP_010962411.1</v>
      </c>
      <c r="B148" s="45">
        <v>236</v>
      </c>
      <c r="C148" s="20" t="s">
        <v>210</v>
      </c>
      <c r="D148" s="21" t="s">
        <v>211</v>
      </c>
      <c r="E148" s="20">
        <v>146</v>
      </c>
      <c r="F148" s="20">
        <v>146</v>
      </c>
      <c r="G148" s="22">
        <v>0.7</v>
      </c>
      <c r="H148" s="23">
        <v>9.9999999999999996E-39</v>
      </c>
      <c r="I148" s="20">
        <v>45.13</v>
      </c>
      <c r="J148" s="20"/>
    </row>
    <row r="149" spans="1:10" x14ac:dyDescent="0.2">
      <c r="A149" s="20" t="str">
        <f>HYPERLINK("https://www.ncbi.nlm.nih.gov/protein/XP_010967533.1?report=genbank&amp;log$=prottop&amp;blast_rank=175&amp;RID=DNNRD06A013","XP_010967533.1")</f>
        <v>XP_010967533.1</v>
      </c>
      <c r="B149" s="45">
        <v>261</v>
      </c>
      <c r="C149" s="20" t="s">
        <v>212</v>
      </c>
      <c r="D149" s="21" t="s">
        <v>211</v>
      </c>
      <c r="E149" s="20">
        <v>324</v>
      </c>
      <c r="F149" s="20">
        <v>324</v>
      </c>
      <c r="G149" s="22">
        <v>0.8</v>
      </c>
      <c r="H149" s="23">
        <v>6.9999999999999997E-108</v>
      </c>
      <c r="I149" s="20">
        <v>80.95</v>
      </c>
      <c r="J149" s="20"/>
    </row>
    <row r="150" spans="1:10" x14ac:dyDescent="0.2">
      <c r="A150" s="20" t="str">
        <f>HYPERLINK("https://www.ncbi.nlm.nih.gov/protein/XP_031302150.1?report=genbank&amp;log$=prottop&amp;blast_rank=389&amp;RID=DNNRD06A013","XP_031302150.1")</f>
        <v>XP_031302150.1</v>
      </c>
      <c r="B150" s="45">
        <v>236</v>
      </c>
      <c r="C150" s="20" t="s">
        <v>213</v>
      </c>
      <c r="D150" s="21" t="s">
        <v>214</v>
      </c>
      <c r="E150" s="20">
        <v>146</v>
      </c>
      <c r="F150" s="20">
        <v>146</v>
      </c>
      <c r="G150" s="22">
        <v>0.7</v>
      </c>
      <c r="H150" s="23">
        <v>9.9999999999999996E-39</v>
      </c>
      <c r="I150" s="20">
        <v>45.13</v>
      </c>
      <c r="J150" s="20"/>
    </row>
    <row r="151" spans="1:10" x14ac:dyDescent="0.2">
      <c r="A151" s="20" t="str">
        <f>HYPERLINK("https://www.ncbi.nlm.nih.gov/protein/XP_010977039.1?report=genbank&amp;log$=prottop&amp;blast_rank=70&amp;RID=DNNRD06A013","XP_010977039.1")</f>
        <v>XP_010977039.1</v>
      </c>
      <c r="B151" s="45">
        <v>316</v>
      </c>
      <c r="C151" s="20" t="s">
        <v>215</v>
      </c>
      <c r="D151" s="21" t="s">
        <v>214</v>
      </c>
      <c r="E151" s="20">
        <v>400</v>
      </c>
      <c r="F151" s="20">
        <v>400</v>
      </c>
      <c r="G151" s="22">
        <v>0.99</v>
      </c>
      <c r="H151" s="23">
        <v>2.9999999999999998E-137</v>
      </c>
      <c r="I151" s="20">
        <v>82.43</v>
      </c>
      <c r="J151" s="20"/>
    </row>
    <row r="152" spans="1:10" x14ac:dyDescent="0.2">
      <c r="A152" s="20" t="str">
        <f>HYPERLINK("https://www.ncbi.nlm.nih.gov/protein/XP_010977045.1?report=genbank&amp;log$=prottop&amp;blast_rank=176&amp;RID=DNNRD06A013","XP_010977045.1")</f>
        <v>XP_010977045.1</v>
      </c>
      <c r="B152" s="45">
        <v>261</v>
      </c>
      <c r="C152" s="20" t="s">
        <v>216</v>
      </c>
      <c r="D152" s="21" t="s">
        <v>214</v>
      </c>
      <c r="E152" s="20">
        <v>324</v>
      </c>
      <c r="F152" s="20">
        <v>324</v>
      </c>
      <c r="G152" s="22">
        <v>0.8</v>
      </c>
      <c r="H152" s="23">
        <v>8.0000000000000003E-108</v>
      </c>
      <c r="I152" s="20">
        <v>80.95</v>
      </c>
      <c r="J152" s="20"/>
    </row>
    <row r="153" spans="1:10" x14ac:dyDescent="0.2">
      <c r="A153" s="20" t="str">
        <f>HYPERLINK("https://www.ncbi.nlm.nih.gov/protein/XP_006174247.2?report=genbank&amp;log$=prottop&amp;blast_rank=71&amp;RID=DNNRD06A013","XP_006174247.2")</f>
        <v>XP_006174247.2</v>
      </c>
      <c r="B153" s="45">
        <v>316</v>
      </c>
      <c r="C153" s="20" t="s">
        <v>217</v>
      </c>
      <c r="D153" s="21" t="s">
        <v>218</v>
      </c>
      <c r="E153" s="20">
        <v>400</v>
      </c>
      <c r="F153" s="20">
        <v>400</v>
      </c>
      <c r="G153" s="22">
        <v>0.99</v>
      </c>
      <c r="H153" s="23">
        <v>3.9999999999999999E-137</v>
      </c>
      <c r="I153" s="20">
        <v>82.43</v>
      </c>
      <c r="J153" s="20"/>
    </row>
    <row r="154" spans="1:10" x14ac:dyDescent="0.2">
      <c r="A154" s="20" t="str">
        <f>HYPERLINK("https://www.ncbi.nlm.nih.gov/protein/XP_025262553.1?report=genbank&amp;log$=prottop&amp;blast_rank=768&amp;RID=DNNRD06A013","XP_025262553.1")</f>
        <v>XP_025262553.1</v>
      </c>
      <c r="B154" s="45">
        <v>324</v>
      </c>
      <c r="C154" s="20" t="s">
        <v>219</v>
      </c>
      <c r="D154" s="21" t="s">
        <v>220</v>
      </c>
      <c r="E154" s="20">
        <v>62.4</v>
      </c>
      <c r="F154" s="20">
        <v>62.4</v>
      </c>
      <c r="G154" s="22">
        <v>0.48</v>
      </c>
      <c r="H154" s="23">
        <v>2.9999999999999999E-7</v>
      </c>
      <c r="I154" s="20">
        <v>31.61</v>
      </c>
      <c r="J154" s="20"/>
    </row>
    <row r="155" spans="1:10" x14ac:dyDescent="0.2">
      <c r="A155" s="20" t="str">
        <f>HYPERLINK("https://www.ncbi.nlm.nih.gov/protein/XP_005642046.1?report=genbank&amp;log$=prottop&amp;blast_rank=308&amp;RID=DNNRD06A013","XP_005642046.1")</f>
        <v>XP_005642046.1</v>
      </c>
      <c r="B155" s="45">
        <v>236</v>
      </c>
      <c r="C155" s="20" t="s">
        <v>221</v>
      </c>
      <c r="D155" s="21" t="s">
        <v>222</v>
      </c>
      <c r="E155" s="20">
        <v>151</v>
      </c>
      <c r="F155" s="20">
        <v>151</v>
      </c>
      <c r="G155" s="22">
        <v>0.7</v>
      </c>
      <c r="H155" s="23">
        <v>9.9999999999999993E-41</v>
      </c>
      <c r="I155" s="20">
        <v>46.9</v>
      </c>
      <c r="J155" s="20"/>
    </row>
    <row r="156" spans="1:10" x14ac:dyDescent="0.2">
      <c r="A156" s="20" t="str">
        <f>HYPERLINK("https://www.ncbi.nlm.nih.gov/protein/XP_005632646.1?report=genbank&amp;log$=prottop&amp;blast_rank=90&amp;RID=DNNRD06A013","XP_005632646.1")</f>
        <v>XP_005632646.1</v>
      </c>
      <c r="B156" s="45">
        <v>373</v>
      </c>
      <c r="C156" s="20" t="s">
        <v>223</v>
      </c>
      <c r="D156" s="21" t="s">
        <v>222</v>
      </c>
      <c r="E156" s="20">
        <v>394</v>
      </c>
      <c r="F156" s="20">
        <v>394</v>
      </c>
      <c r="G156" s="22">
        <v>1</v>
      </c>
      <c r="H156" s="23">
        <v>5.0000000000000003E-134</v>
      </c>
      <c r="I156" s="20">
        <v>82.17</v>
      </c>
      <c r="J156" s="20"/>
    </row>
    <row r="157" spans="1:10" x14ac:dyDescent="0.2">
      <c r="A157" s="20" t="str">
        <f>HYPERLINK("https://www.ncbi.nlm.nih.gov/protein/XP_013977676.1?report=genbank&amp;log$=prottop&amp;blast_rank=82&amp;RID=DNNRD06A013","XP_013977676.1")</f>
        <v>XP_013977676.1</v>
      </c>
      <c r="B157" s="45">
        <v>339</v>
      </c>
      <c r="C157" s="20" t="s">
        <v>224</v>
      </c>
      <c r="D157" s="21" t="s">
        <v>222</v>
      </c>
      <c r="E157" s="20">
        <v>396</v>
      </c>
      <c r="F157" s="20">
        <v>396</v>
      </c>
      <c r="G157" s="22">
        <v>1</v>
      </c>
      <c r="H157" s="23">
        <v>4.0000000000000002E-135</v>
      </c>
      <c r="I157" s="20">
        <v>82.17</v>
      </c>
      <c r="J157" s="20"/>
    </row>
    <row r="158" spans="1:10" x14ac:dyDescent="0.2">
      <c r="A158" s="20" t="str">
        <f>HYPERLINK("https://www.ncbi.nlm.nih.gov/protein/XP_017922514.1?report=genbank&amp;log$=prottop&amp;blast_rank=144&amp;RID=DNNRD06A013","XP_017922514.1")</f>
        <v>XP_017922514.1</v>
      </c>
      <c r="B158" s="45">
        <v>315</v>
      </c>
      <c r="C158" s="20" t="s">
        <v>225</v>
      </c>
      <c r="D158" s="21" t="s">
        <v>226</v>
      </c>
      <c r="E158" s="20">
        <v>360</v>
      </c>
      <c r="F158" s="20">
        <v>360</v>
      </c>
      <c r="G158" s="22">
        <v>1</v>
      </c>
      <c r="H158" s="23">
        <v>2.9999999999999999E-121</v>
      </c>
      <c r="I158" s="20">
        <v>78.41</v>
      </c>
      <c r="J158" s="20"/>
    </row>
    <row r="159" spans="1:10" x14ac:dyDescent="0.2">
      <c r="A159" s="20" t="str">
        <f>HYPERLINK("https://www.ncbi.nlm.nih.gov/protein/XP_048688892.1?report=genbank&amp;log$=prottop&amp;blast_rank=355&amp;RID=DNNRD06A013","XP_048688892.1")</f>
        <v>XP_048688892.1</v>
      </c>
      <c r="B159" s="45">
        <v>225</v>
      </c>
      <c r="C159" s="20" t="s">
        <v>227</v>
      </c>
      <c r="D159" s="21" t="s">
        <v>228</v>
      </c>
      <c r="E159" s="20">
        <v>149</v>
      </c>
      <c r="F159" s="20">
        <v>149</v>
      </c>
      <c r="G159" s="22">
        <v>0.72</v>
      </c>
      <c r="H159" s="23">
        <v>7.0000000000000003E-40</v>
      </c>
      <c r="I159" s="20">
        <v>42.11</v>
      </c>
      <c r="J159" s="20"/>
    </row>
    <row r="160" spans="1:10" x14ac:dyDescent="0.2">
      <c r="A160" s="20" t="str">
        <f>HYPERLINK("https://www.ncbi.nlm.nih.gov/protein/XP_008056448.1?report=genbank&amp;log$=prottop&amp;blast_rank=34&amp;RID=DNNRD06A013","XP_008056448.1")</f>
        <v>XP_008056448.1</v>
      </c>
      <c r="B160" s="45">
        <v>373</v>
      </c>
      <c r="C160" s="20" t="s">
        <v>229</v>
      </c>
      <c r="D160" s="21" t="s">
        <v>230</v>
      </c>
      <c r="E160" s="20">
        <v>413</v>
      </c>
      <c r="F160" s="20">
        <v>413</v>
      </c>
      <c r="G160" s="22">
        <v>1</v>
      </c>
      <c r="H160" s="23">
        <v>2.9999999999999998E-141</v>
      </c>
      <c r="I160" s="20">
        <v>85.35</v>
      </c>
      <c r="J160" s="20"/>
    </row>
    <row r="161" spans="1:10" x14ac:dyDescent="0.2">
      <c r="A161" s="20" t="str">
        <f>HYPERLINK("https://www.ncbi.nlm.nih.gov/protein/XP_008047843.1?report=genbank&amp;log$=prottop&amp;blast_rank=365&amp;RID=DNNRD06A013","XP_008047843.1")</f>
        <v>XP_008047843.1</v>
      </c>
      <c r="B161" s="45">
        <v>236</v>
      </c>
      <c r="C161" s="20" t="s">
        <v>231</v>
      </c>
      <c r="D161" s="21" t="s">
        <v>230</v>
      </c>
      <c r="E161" s="20">
        <v>149</v>
      </c>
      <c r="F161" s="20">
        <v>149</v>
      </c>
      <c r="G161" s="22">
        <v>0.7</v>
      </c>
      <c r="H161" s="23">
        <v>9.0000000000000002E-40</v>
      </c>
      <c r="I161" s="20">
        <v>45.58</v>
      </c>
      <c r="J161" s="20"/>
    </row>
    <row r="162" spans="1:10" x14ac:dyDescent="0.2">
      <c r="A162" s="20" t="str">
        <f>HYPERLINK("https://www.ncbi.nlm.nih.gov/protein/XP_020035314.1?report=genbank&amp;log$=prottop&amp;blast_rank=377&amp;RID=DNNRD06A013","XP_020035314.1")</f>
        <v>XP_020035314.1</v>
      </c>
      <c r="B162" s="45">
        <v>310</v>
      </c>
      <c r="C162" s="20" t="s">
        <v>232</v>
      </c>
      <c r="D162" s="21" t="s">
        <v>233</v>
      </c>
      <c r="E162" s="20">
        <v>150</v>
      </c>
      <c r="F162" s="20">
        <v>150</v>
      </c>
      <c r="G162" s="22">
        <v>0.7</v>
      </c>
      <c r="H162" s="23">
        <v>1.9999999999999999E-39</v>
      </c>
      <c r="I162" s="20">
        <v>46.02</v>
      </c>
      <c r="J162" s="20"/>
    </row>
    <row r="163" spans="1:10" x14ac:dyDescent="0.2">
      <c r="A163" s="20" t="str">
        <f>HYPERLINK("https://www.ncbi.nlm.nih.gov/protein/XP_020033284.1?report=genbank&amp;log$=prottop&amp;blast_rank=118&amp;RID=DNNRD06A013","XP_020033284.1")</f>
        <v>XP_020033284.1</v>
      </c>
      <c r="B163" s="45">
        <v>307</v>
      </c>
      <c r="C163" s="20" t="s">
        <v>234</v>
      </c>
      <c r="D163" s="21" t="s">
        <v>233</v>
      </c>
      <c r="E163" s="20">
        <v>377</v>
      </c>
      <c r="F163" s="20">
        <v>377</v>
      </c>
      <c r="G163" s="22">
        <v>0.98</v>
      </c>
      <c r="H163" s="23">
        <v>5.9999999999999996E-128</v>
      </c>
      <c r="I163" s="20">
        <v>82.2</v>
      </c>
      <c r="J163" s="20"/>
    </row>
    <row r="164" spans="1:10" x14ac:dyDescent="0.2">
      <c r="A164" s="20" t="str">
        <f>HYPERLINK("https://www.ncbi.nlm.nih.gov/protein/XP_013015215.1?report=genbank&amp;log$=prottop&amp;blast_rank=139&amp;RID=DNNRD06A013","XP_013015215.1")</f>
        <v>XP_013015215.1</v>
      </c>
      <c r="B164" s="45">
        <v>1089</v>
      </c>
      <c r="C164" s="20" t="s">
        <v>235</v>
      </c>
      <c r="D164" s="21" t="s">
        <v>236</v>
      </c>
      <c r="E164" s="20">
        <v>385</v>
      </c>
      <c r="F164" s="20">
        <v>385</v>
      </c>
      <c r="G164" s="22">
        <v>1</v>
      </c>
      <c r="H164" s="23">
        <v>4.0000000000000002E-122</v>
      </c>
      <c r="I164" s="20">
        <v>79.3</v>
      </c>
      <c r="J164" s="20"/>
    </row>
    <row r="165" spans="1:10" x14ac:dyDescent="0.2">
      <c r="A165" s="20" t="str">
        <f>HYPERLINK("https://www.ncbi.nlm.nih.gov/protein/XP_005000117.1?report=genbank&amp;log$=prottop&amp;blast_rank=264&amp;RID=DNNRD06A013","XP_005000117.1")</f>
        <v>XP_005000117.1</v>
      </c>
      <c r="B165" s="45">
        <v>236</v>
      </c>
      <c r="C165" s="20" t="s">
        <v>237</v>
      </c>
      <c r="D165" s="21" t="s">
        <v>236</v>
      </c>
      <c r="E165" s="20">
        <v>153</v>
      </c>
      <c r="F165" s="20">
        <v>153</v>
      </c>
      <c r="G165" s="22">
        <v>0.7</v>
      </c>
      <c r="H165" s="23">
        <v>2E-41</v>
      </c>
      <c r="I165" s="20">
        <v>46.46</v>
      </c>
      <c r="J165" s="20"/>
    </row>
    <row r="166" spans="1:10" x14ac:dyDescent="0.2">
      <c r="A166" s="20" t="str">
        <f>HYPERLINK("https://www.ncbi.nlm.nih.gov/protein/XP_005006676.1?report=genbank&amp;log$=prottop&amp;blast_rank=111&amp;RID=DNNRD06A013","XP_005006676.1")</f>
        <v>XP_005006676.1</v>
      </c>
      <c r="B166" s="45">
        <v>314</v>
      </c>
      <c r="C166" s="20" t="s">
        <v>238</v>
      </c>
      <c r="D166" s="21" t="s">
        <v>236</v>
      </c>
      <c r="E166" s="20">
        <v>385</v>
      </c>
      <c r="F166" s="20">
        <v>385</v>
      </c>
      <c r="G166" s="22">
        <v>1</v>
      </c>
      <c r="H166" s="23">
        <v>3E-131</v>
      </c>
      <c r="I166" s="20">
        <v>79.3</v>
      </c>
      <c r="J166" s="20"/>
    </row>
    <row r="167" spans="1:10" x14ac:dyDescent="0.2">
      <c r="A167" s="20" t="str">
        <f>HYPERLINK("https://www.ncbi.nlm.nih.gov/protein/XP_017370496.2?report=genbank&amp;log$=prottop&amp;blast_rank=28&amp;RID=DNNRD06A013","XP_017370496.2")</f>
        <v>XP_017370496.2</v>
      </c>
      <c r="B167" s="45">
        <v>374</v>
      </c>
      <c r="C167" s="20" t="s">
        <v>239</v>
      </c>
      <c r="D167" s="21" t="s">
        <v>240</v>
      </c>
      <c r="E167" s="20">
        <v>427</v>
      </c>
      <c r="F167" s="20">
        <v>427</v>
      </c>
      <c r="G167" s="22">
        <v>1</v>
      </c>
      <c r="H167" s="23">
        <v>3.9999999999999999E-147</v>
      </c>
      <c r="I167" s="20">
        <v>90.76</v>
      </c>
      <c r="J167" s="20"/>
    </row>
    <row r="168" spans="1:10" x14ac:dyDescent="0.2">
      <c r="A168" s="20" t="str">
        <f>HYPERLINK("https://www.ncbi.nlm.nih.gov/protein/XP_023209931.1?report=genbank&amp;log$=prottop&amp;blast_rank=683&amp;RID=DNNRD06A013","XP_023209931.1")</f>
        <v>XP_023209931.1</v>
      </c>
      <c r="B168" s="45">
        <v>349</v>
      </c>
      <c r="C168" s="20" t="s">
        <v>241</v>
      </c>
      <c r="D168" s="21" t="s">
        <v>242</v>
      </c>
      <c r="E168" s="20">
        <v>74.7</v>
      </c>
      <c r="F168" s="20">
        <v>132</v>
      </c>
      <c r="G168" s="22">
        <v>0.71</v>
      </c>
      <c r="H168" s="23">
        <v>3E-11</v>
      </c>
      <c r="I168" s="20">
        <v>35.44</v>
      </c>
      <c r="J168" s="20"/>
    </row>
    <row r="169" spans="1:10" x14ac:dyDescent="0.2">
      <c r="A169" s="20" t="str">
        <f>HYPERLINK("https://www.ncbi.nlm.nih.gov/protein/XP_023209929.1?report=genbank&amp;log$=prottop&amp;blast_rank=635&amp;RID=DNNRD06A013","XP_023209929.1")</f>
        <v>XP_023209929.1</v>
      </c>
      <c r="B169" s="45">
        <v>351</v>
      </c>
      <c r="C169" s="20" t="s">
        <v>241</v>
      </c>
      <c r="D169" s="21" t="s">
        <v>242</v>
      </c>
      <c r="E169" s="20">
        <v>78.599999999999994</v>
      </c>
      <c r="F169" s="20">
        <v>134</v>
      </c>
      <c r="G169" s="22">
        <v>0.7</v>
      </c>
      <c r="H169" s="23">
        <v>9.9999999999999998E-13</v>
      </c>
      <c r="I169" s="20">
        <v>36.25</v>
      </c>
      <c r="J169" s="20"/>
    </row>
    <row r="170" spans="1:10" x14ac:dyDescent="0.2">
      <c r="A170" s="20" t="str">
        <f>HYPERLINK("https://www.ncbi.nlm.nih.gov/protein/XP_023233640.1?report=genbank&amp;log$=prottop&amp;blast_rank=453&amp;RID=DNNRD06A013","XP_023233640.1")</f>
        <v>XP_023233640.1</v>
      </c>
      <c r="B170" s="45">
        <v>404</v>
      </c>
      <c r="C170" s="20" t="s">
        <v>241</v>
      </c>
      <c r="D170" s="21" t="s">
        <v>242</v>
      </c>
      <c r="E170" s="20">
        <v>127</v>
      </c>
      <c r="F170" s="20">
        <v>127</v>
      </c>
      <c r="G170" s="22">
        <v>0.71</v>
      </c>
      <c r="H170" s="23">
        <v>4.9999999999999997E-30</v>
      </c>
      <c r="I170" s="20">
        <v>34.35</v>
      </c>
      <c r="J170" s="20"/>
    </row>
    <row r="171" spans="1:10" x14ac:dyDescent="0.2">
      <c r="A171" s="20" t="str">
        <f>HYPERLINK("https://www.ncbi.nlm.nih.gov/protein/XP_023224936.1?report=genbank&amp;log$=prottop&amp;blast_rank=629&amp;RID=DNNRD06A013","XP_023224936.1")</f>
        <v>XP_023224936.1</v>
      </c>
      <c r="B171" s="45">
        <v>321</v>
      </c>
      <c r="C171" s="20" t="s">
        <v>243</v>
      </c>
      <c r="D171" s="21" t="s">
        <v>242</v>
      </c>
      <c r="E171" s="20">
        <v>79</v>
      </c>
      <c r="F171" s="20">
        <v>135</v>
      </c>
      <c r="G171" s="22">
        <v>0.69</v>
      </c>
      <c r="H171" s="23">
        <v>8.0000000000000002E-13</v>
      </c>
      <c r="I171" s="20">
        <v>37.11</v>
      </c>
      <c r="J171" s="20"/>
    </row>
    <row r="172" spans="1:10" x14ac:dyDescent="0.2">
      <c r="A172" s="20" t="str">
        <f>HYPERLINK("https://www.ncbi.nlm.nih.gov/protein/XP_023224941.1?report=genbank&amp;log$=prottop&amp;blast_rank=626&amp;RID=DNNRD06A013","XP_023224941.1")</f>
        <v>XP_023224941.1</v>
      </c>
      <c r="B172" s="45">
        <v>268</v>
      </c>
      <c r="C172" s="20" t="s">
        <v>244</v>
      </c>
      <c r="D172" s="21" t="s">
        <v>242</v>
      </c>
      <c r="E172" s="20">
        <v>78.599999999999994</v>
      </c>
      <c r="F172" s="20">
        <v>78.599999999999994</v>
      </c>
      <c r="G172" s="22">
        <v>0.48</v>
      </c>
      <c r="H172" s="23">
        <v>5.9999999999999997E-13</v>
      </c>
      <c r="I172" s="20">
        <v>36.880000000000003</v>
      </c>
      <c r="J172" s="20"/>
    </row>
    <row r="173" spans="1:10" x14ac:dyDescent="0.2">
      <c r="A173" s="20" t="str">
        <f>HYPERLINK("https://www.ncbi.nlm.nih.gov/protein/XP_015590940.1?report=genbank&amp;log$=prottop&amp;blast_rank=896&amp;RID=DNNRD06A013","XP_015590940.1")</f>
        <v>XP_015590940.1</v>
      </c>
      <c r="B173" s="45">
        <v>251</v>
      </c>
      <c r="C173" s="20" t="s">
        <v>245</v>
      </c>
      <c r="D173" s="21" t="s">
        <v>246</v>
      </c>
      <c r="E173" s="20">
        <v>48.5</v>
      </c>
      <c r="F173" s="20">
        <v>48.5</v>
      </c>
      <c r="G173" s="22">
        <v>0.3</v>
      </c>
      <c r="H173" s="20">
        <v>0.01</v>
      </c>
      <c r="I173" s="20">
        <v>31.63</v>
      </c>
      <c r="J173" s="20"/>
    </row>
    <row r="174" spans="1:10" x14ac:dyDescent="0.2">
      <c r="A174" s="20" t="str">
        <f>HYPERLINK("https://www.ncbi.nlm.nih.gov/protein/XP_017885267.1?report=genbank&amp;log$=prottop&amp;blast_rank=734&amp;RID=DNNRD06A013","XP_017885267.1")</f>
        <v>XP_017885267.1</v>
      </c>
      <c r="B174" s="45">
        <v>303</v>
      </c>
      <c r="C174" s="20" t="s">
        <v>247</v>
      </c>
      <c r="D174" s="21" t="s">
        <v>248</v>
      </c>
      <c r="E174" s="20">
        <v>67.400000000000006</v>
      </c>
      <c r="F174" s="20">
        <v>67.400000000000006</v>
      </c>
      <c r="G174" s="22">
        <v>0.46</v>
      </c>
      <c r="H174" s="23">
        <v>6E-9</v>
      </c>
      <c r="I174" s="20">
        <v>35.14</v>
      </c>
      <c r="J174" s="20"/>
    </row>
    <row r="175" spans="1:10" x14ac:dyDescent="0.2">
      <c r="A175" s="20" t="str">
        <f>HYPERLINK("https://www.ncbi.nlm.nih.gov/protein/XP_017885261.1?report=genbank&amp;log$=prottop&amp;blast_rank=742&amp;RID=DNNRD06A013","XP_017885261.1")</f>
        <v>XP_017885261.1</v>
      </c>
      <c r="B175" s="45">
        <v>334</v>
      </c>
      <c r="C175" s="20" t="s">
        <v>249</v>
      </c>
      <c r="D175" s="21" t="s">
        <v>248</v>
      </c>
      <c r="E175" s="20">
        <v>67</v>
      </c>
      <c r="F175" s="20">
        <v>67</v>
      </c>
      <c r="G175" s="22">
        <v>0.46</v>
      </c>
      <c r="H175" s="23">
        <v>1E-8</v>
      </c>
      <c r="I175" s="20">
        <v>35.14</v>
      </c>
      <c r="J175" s="20"/>
    </row>
    <row r="176" spans="1:10" x14ac:dyDescent="0.2">
      <c r="A176" s="20" t="str">
        <f>HYPERLINK("https://www.ncbi.nlm.nih.gov/protein/XP_017885262.1?report=genbank&amp;log$=prottop&amp;blast_rank=746&amp;RID=DNNRD06A013","XP_017885262.1")</f>
        <v>XP_017885262.1</v>
      </c>
      <c r="B176" s="45">
        <v>308</v>
      </c>
      <c r="C176" s="20" t="s">
        <v>250</v>
      </c>
      <c r="D176" s="21" t="s">
        <v>248</v>
      </c>
      <c r="E176" s="20">
        <v>66.2</v>
      </c>
      <c r="F176" s="20">
        <v>66.2</v>
      </c>
      <c r="G176" s="22">
        <v>0.43</v>
      </c>
      <c r="H176" s="23">
        <v>2E-8</v>
      </c>
      <c r="I176" s="20">
        <v>36.43</v>
      </c>
      <c r="J176" s="20"/>
    </row>
    <row r="177" spans="1:10" x14ac:dyDescent="0.2">
      <c r="A177" s="20" t="str">
        <f>HYPERLINK("https://www.ncbi.nlm.nih.gov/protein/XP_004533927.1?report=genbank&amp;log$=prottop&amp;blast_rank=719&amp;RID=DNNRD06A013","XP_004533927.1")</f>
        <v>XP_004533927.1</v>
      </c>
      <c r="B177" s="45">
        <v>329</v>
      </c>
      <c r="C177" s="20" t="s">
        <v>251</v>
      </c>
      <c r="D177" s="21" t="s">
        <v>252</v>
      </c>
      <c r="E177" s="20">
        <v>69.3</v>
      </c>
      <c r="F177" s="20">
        <v>69.3</v>
      </c>
      <c r="G177" s="22">
        <v>0.51</v>
      </c>
      <c r="H177" s="23">
        <v>2.0000000000000001E-9</v>
      </c>
      <c r="I177" s="20">
        <v>35.630000000000003</v>
      </c>
      <c r="J177" s="20"/>
    </row>
    <row r="178" spans="1:10" x14ac:dyDescent="0.2">
      <c r="A178" s="20" t="str">
        <f>HYPERLINK("https://www.ncbi.nlm.nih.gov/protein/XP_004443345.1?report=genbank&amp;log$=prottop&amp;blast_rank=423&amp;RID=DNNRD06A013","XP_004443345.1")</f>
        <v>XP_004443345.1</v>
      </c>
      <c r="B178" s="45">
        <v>236</v>
      </c>
      <c r="C178" s="20" t="s">
        <v>253</v>
      </c>
      <c r="D178" s="21" t="s">
        <v>254</v>
      </c>
      <c r="E178" s="20">
        <v>139</v>
      </c>
      <c r="F178" s="20">
        <v>139</v>
      </c>
      <c r="G178" s="22">
        <v>0.7</v>
      </c>
      <c r="H178" s="23">
        <v>6.9999999999999999E-36</v>
      </c>
      <c r="I178" s="20">
        <v>43.95</v>
      </c>
      <c r="J178" s="20"/>
    </row>
    <row r="179" spans="1:10" x14ac:dyDescent="0.2">
      <c r="A179" s="20" t="str">
        <f>HYPERLINK("https://www.ncbi.nlm.nih.gov/protein/XP_014647155.1?report=genbank&amp;log$=prottop&amp;blast_rank=30&amp;RID=DNNRD06A013","XP_014647155.1")</f>
        <v>XP_014647155.1</v>
      </c>
      <c r="B179" s="45">
        <v>314</v>
      </c>
      <c r="C179" s="20" t="s">
        <v>255</v>
      </c>
      <c r="D179" s="21" t="s">
        <v>254</v>
      </c>
      <c r="E179" s="20">
        <v>417</v>
      </c>
      <c r="F179" s="20">
        <v>417</v>
      </c>
      <c r="G179" s="22">
        <v>1</v>
      </c>
      <c r="H179" s="23">
        <v>6.9999999999999997E-144</v>
      </c>
      <c r="I179" s="20">
        <v>84.39</v>
      </c>
      <c r="J179" s="20"/>
    </row>
    <row r="180" spans="1:10" x14ac:dyDescent="0.2">
      <c r="A180" s="20" t="str">
        <f>HYPERLINK("https://www.ncbi.nlm.nih.gov/protein/XP_011890680.1?report=genbank&amp;log$=prottop&amp;blast_rank=320&amp;RID=DNNRD06A013","XP_011890680.1")</f>
        <v>XP_011890680.1</v>
      </c>
      <c r="B180" s="45">
        <v>275</v>
      </c>
      <c r="C180" s="20" t="s">
        <v>256</v>
      </c>
      <c r="D180" s="21" t="s">
        <v>257</v>
      </c>
      <c r="E180" s="20">
        <v>152</v>
      </c>
      <c r="F180" s="20">
        <v>152</v>
      </c>
      <c r="G180" s="22">
        <v>0.7</v>
      </c>
      <c r="H180" s="23">
        <v>9.9999999999999993E-41</v>
      </c>
      <c r="I180" s="20">
        <v>46.46</v>
      </c>
      <c r="J180" s="20"/>
    </row>
    <row r="181" spans="1:10" x14ac:dyDescent="0.2">
      <c r="A181" s="20" t="str">
        <f>HYPERLINK("https://www.ncbi.nlm.nih.gov/protein/XP_011890681.1?report=genbank&amp;log$=prottop&amp;blast_rank=316&amp;RID=DNNRD06A013","XP_011890681.1")</f>
        <v>XP_011890681.1</v>
      </c>
      <c r="B181" s="45">
        <v>264</v>
      </c>
      <c r="C181" s="20" t="s">
        <v>258</v>
      </c>
      <c r="D181" s="21" t="s">
        <v>257</v>
      </c>
      <c r="E181" s="20">
        <v>152</v>
      </c>
      <c r="F181" s="20">
        <v>152</v>
      </c>
      <c r="G181" s="22">
        <v>0.7</v>
      </c>
      <c r="H181" s="23">
        <v>9.9999999999999993E-41</v>
      </c>
      <c r="I181" s="20">
        <v>46.46</v>
      </c>
      <c r="J181" s="20"/>
    </row>
    <row r="182" spans="1:10" x14ac:dyDescent="0.2">
      <c r="A182" s="20" t="str">
        <f>HYPERLINK("https://www.ncbi.nlm.nih.gov/protein/XP_011890683.1?report=genbank&amp;log$=prottop&amp;blast_rank=296&amp;RID=DNNRD06A013","XP_011890683.1")</f>
        <v>XP_011890683.1</v>
      </c>
      <c r="B182" s="45">
        <v>236</v>
      </c>
      <c r="C182" s="20" t="s">
        <v>259</v>
      </c>
      <c r="D182" s="21" t="s">
        <v>257</v>
      </c>
      <c r="E182" s="20">
        <v>152</v>
      </c>
      <c r="F182" s="20">
        <v>152</v>
      </c>
      <c r="G182" s="22">
        <v>0.7</v>
      </c>
      <c r="H182" s="23">
        <v>5.9999999999999998E-41</v>
      </c>
      <c r="I182" s="20">
        <v>46.46</v>
      </c>
      <c r="J182" s="20"/>
    </row>
    <row r="183" spans="1:10" x14ac:dyDescent="0.2">
      <c r="A183" s="20" t="str">
        <f>HYPERLINK("https://www.ncbi.nlm.nih.gov/protein/XP_011888942.1?report=genbank&amp;log$=prottop&amp;blast_rank=14&amp;RID=DNNRD06A013","XP_011888942.1")</f>
        <v>XP_011888942.1</v>
      </c>
      <c r="B183" s="45">
        <v>314</v>
      </c>
      <c r="C183" s="20" t="s">
        <v>260</v>
      </c>
      <c r="D183" s="21" t="s">
        <v>257</v>
      </c>
      <c r="E183" s="20">
        <v>454</v>
      </c>
      <c r="F183" s="20">
        <v>454</v>
      </c>
      <c r="G183" s="22">
        <v>1</v>
      </c>
      <c r="H183" s="23">
        <v>3E-158</v>
      </c>
      <c r="I183" s="20">
        <v>95.54</v>
      </c>
      <c r="J183" s="20"/>
    </row>
    <row r="184" spans="1:10" x14ac:dyDescent="0.2">
      <c r="A184" s="20" t="str">
        <f>HYPERLINK("https://www.ncbi.nlm.nih.gov/protein/XP_043313532.1?report=genbank&amp;log$=prottop&amp;blast_rank=341&amp;RID=DNNRD06A013","XP_043313532.1")</f>
        <v>XP_043313532.1</v>
      </c>
      <c r="B184" s="45">
        <v>236</v>
      </c>
      <c r="C184" s="20" t="s">
        <v>261</v>
      </c>
      <c r="D184" s="21" t="s">
        <v>262</v>
      </c>
      <c r="E184" s="20">
        <v>150</v>
      </c>
      <c r="F184" s="20">
        <v>150</v>
      </c>
      <c r="G184" s="22">
        <v>0.7</v>
      </c>
      <c r="H184" s="23">
        <v>3.9999999999999997E-40</v>
      </c>
      <c r="I184" s="20">
        <v>46.02</v>
      </c>
      <c r="J184" s="20"/>
    </row>
    <row r="185" spans="1:10" x14ac:dyDescent="0.2">
      <c r="A185" s="20" t="str">
        <f>HYPERLINK("https://www.ncbi.nlm.nih.gov/protein/XP_043298324.1?report=genbank&amp;log$=prottop&amp;blast_rank=135&amp;RID=DNNRD06A013","XP_043298324.1")</f>
        <v>XP_043298324.1</v>
      </c>
      <c r="B185" s="45">
        <v>362</v>
      </c>
      <c r="C185" s="20" t="s">
        <v>263</v>
      </c>
      <c r="D185" s="21" t="s">
        <v>262</v>
      </c>
      <c r="E185" s="20">
        <v>364</v>
      </c>
      <c r="F185" s="20">
        <v>364</v>
      </c>
      <c r="G185" s="22">
        <v>1</v>
      </c>
      <c r="H185" s="23">
        <v>2.0000000000000001E-122</v>
      </c>
      <c r="I185" s="20">
        <v>79.05</v>
      </c>
      <c r="J185" s="20"/>
    </row>
    <row r="186" spans="1:10" x14ac:dyDescent="0.2">
      <c r="A186" s="20" t="str">
        <f>HYPERLINK("https://www.ncbi.nlm.nih.gov/protein/XP_043741794.1?report=genbank&amp;log$=prottop&amp;blast_rank=132&amp;RID=DNNRD06A013","XP_043741794.1")</f>
        <v>XP_043741794.1</v>
      </c>
      <c r="B186" s="45">
        <v>362</v>
      </c>
      <c r="C186" s="20" t="s">
        <v>264</v>
      </c>
      <c r="D186" s="21" t="s">
        <v>265</v>
      </c>
      <c r="E186" s="20">
        <v>366</v>
      </c>
      <c r="F186" s="20">
        <v>366</v>
      </c>
      <c r="G186" s="22">
        <v>1</v>
      </c>
      <c r="H186" s="23">
        <v>4.0000000000000002E-123</v>
      </c>
      <c r="I186" s="20">
        <v>79.37</v>
      </c>
      <c r="J186" s="20"/>
    </row>
    <row r="187" spans="1:10" x14ac:dyDescent="0.2">
      <c r="A187" s="20" t="str">
        <f>HYPERLINK("https://www.ncbi.nlm.nih.gov/protein/XP_043751180.1?report=genbank&amp;log$=prottop&amp;blast_rank=337&amp;RID=DNNRD06A013","XP_043751180.1")</f>
        <v>XP_043751180.1</v>
      </c>
      <c r="B187" s="45">
        <v>236</v>
      </c>
      <c r="C187" s="20" t="s">
        <v>266</v>
      </c>
      <c r="D187" s="21" t="s">
        <v>265</v>
      </c>
      <c r="E187" s="20">
        <v>150</v>
      </c>
      <c r="F187" s="20">
        <v>150</v>
      </c>
      <c r="G187" s="22">
        <v>0.7</v>
      </c>
      <c r="H187" s="23">
        <v>3.9999999999999997E-40</v>
      </c>
      <c r="I187" s="20">
        <v>46.02</v>
      </c>
      <c r="J187" s="20"/>
    </row>
    <row r="188" spans="1:10" x14ac:dyDescent="0.2">
      <c r="A188" s="20" t="str">
        <f>HYPERLINK("https://www.ncbi.nlm.nih.gov/protein/XP_037744325.1?report=genbank&amp;log$=prottop&amp;blast_rank=369&amp;RID=DNNRD06A013","XP_037744325.1")</f>
        <v>XP_037744325.1</v>
      </c>
      <c r="B188" s="45">
        <v>227</v>
      </c>
      <c r="C188" s="20" t="s">
        <v>267</v>
      </c>
      <c r="D188" s="21" t="s">
        <v>268</v>
      </c>
      <c r="E188" s="20">
        <v>148</v>
      </c>
      <c r="F188" s="20">
        <v>148</v>
      </c>
      <c r="G188" s="22">
        <v>0.72</v>
      </c>
      <c r="H188" s="23">
        <v>9.9999999999999993E-40</v>
      </c>
      <c r="I188" s="20">
        <v>41.67</v>
      </c>
      <c r="J188" s="20"/>
    </row>
    <row r="189" spans="1:10" x14ac:dyDescent="0.2">
      <c r="A189" s="20" t="str">
        <f>HYPERLINK("https://www.ncbi.nlm.nih.gov/protein/XP_037744326.1?report=genbank&amp;log$=prottop&amp;blast_rank=368&amp;RID=DNNRD06A013","XP_037744326.1")</f>
        <v>XP_037744326.1</v>
      </c>
      <c r="B189" s="45">
        <v>225</v>
      </c>
      <c r="C189" s="20" t="s">
        <v>269</v>
      </c>
      <c r="D189" s="21" t="s">
        <v>268</v>
      </c>
      <c r="E189" s="20">
        <v>148</v>
      </c>
      <c r="F189" s="20">
        <v>148</v>
      </c>
      <c r="G189" s="22">
        <v>0.72</v>
      </c>
      <c r="H189" s="23">
        <v>9.9999999999999993E-40</v>
      </c>
      <c r="I189" s="20">
        <v>41.67</v>
      </c>
      <c r="J189" s="20"/>
    </row>
    <row r="190" spans="1:10" x14ac:dyDescent="0.2">
      <c r="A190" s="20" t="str">
        <f>HYPERLINK("https://www.ncbi.nlm.nih.gov/protein/XP_032654399.1?report=genbank&amp;log$=prottop&amp;blast_rank=444&amp;RID=DNNRD06A013","XP_032654399.1")</f>
        <v>XP_032654399.1</v>
      </c>
      <c r="B190" s="45">
        <v>225</v>
      </c>
      <c r="C190" s="20" t="s">
        <v>270</v>
      </c>
      <c r="D190" s="21" t="s">
        <v>271</v>
      </c>
      <c r="E190" s="20">
        <v>129</v>
      </c>
      <c r="F190" s="20">
        <v>129</v>
      </c>
      <c r="G190" s="22">
        <v>0.72</v>
      </c>
      <c r="H190" s="23">
        <v>3E-32</v>
      </c>
      <c r="I190" s="20">
        <v>40.79</v>
      </c>
      <c r="J190" s="20"/>
    </row>
    <row r="191" spans="1:10" x14ac:dyDescent="0.2">
      <c r="A191" s="20" t="str">
        <f>HYPERLINK("https://www.ncbi.nlm.nih.gov/protein/XP_005414176.1?report=genbank&amp;log$=prottop&amp;blast_rank=245&amp;RID=DNNRD06A013","XP_005414176.1")</f>
        <v>XP_005414176.1</v>
      </c>
      <c r="B191" s="45">
        <v>236</v>
      </c>
      <c r="C191" s="20" t="s">
        <v>272</v>
      </c>
      <c r="D191" s="21" t="s">
        <v>273</v>
      </c>
      <c r="E191" s="20">
        <v>155</v>
      </c>
      <c r="F191" s="20">
        <v>155</v>
      </c>
      <c r="G191" s="22">
        <v>0.71</v>
      </c>
      <c r="H191" s="23">
        <v>6.0000000000000005E-42</v>
      </c>
      <c r="I191" s="20">
        <v>46.49</v>
      </c>
      <c r="J191" s="20"/>
    </row>
    <row r="192" spans="1:10" x14ac:dyDescent="0.2">
      <c r="A192" s="20" t="str">
        <f>HYPERLINK("https://www.ncbi.nlm.nih.gov/protein/XP_005410208.2?report=genbank&amp;log$=prottop&amp;blast_rank=121&amp;RID=DNNRD06A013","XP_005410208.2")</f>
        <v>XP_005410208.2</v>
      </c>
      <c r="B192" s="45">
        <v>445</v>
      </c>
      <c r="C192" s="20" t="s">
        <v>274</v>
      </c>
      <c r="D192" s="21" t="s">
        <v>273</v>
      </c>
      <c r="E192" s="20">
        <v>379</v>
      </c>
      <c r="F192" s="20">
        <v>379</v>
      </c>
      <c r="G192" s="22">
        <v>1</v>
      </c>
      <c r="H192" s="23">
        <v>8.0000000000000002E-127</v>
      </c>
      <c r="I192" s="20">
        <v>78.66</v>
      </c>
      <c r="J192" s="20"/>
    </row>
    <row r="193" spans="1:10" x14ac:dyDescent="0.2">
      <c r="A193" s="20" t="str">
        <f>HYPERLINK("https://www.ncbi.nlm.nih.gov/protein/XP_007991244.2?report=genbank&amp;log$=prottop&amp;blast_rank=358&amp;RID=DNNRD06A013","XP_007991244.2")</f>
        <v>XP_007991244.2</v>
      </c>
      <c r="B193" s="45">
        <v>236</v>
      </c>
      <c r="C193" s="20" t="s">
        <v>275</v>
      </c>
      <c r="D193" s="21" t="s">
        <v>276</v>
      </c>
      <c r="E193" s="20">
        <v>149</v>
      </c>
      <c r="F193" s="20">
        <v>149</v>
      </c>
      <c r="G193" s="22">
        <v>0.7</v>
      </c>
      <c r="H193" s="23">
        <v>7.9999999999999994E-40</v>
      </c>
      <c r="I193" s="20">
        <v>46.02</v>
      </c>
      <c r="J193" s="20"/>
    </row>
    <row r="194" spans="1:10" x14ac:dyDescent="0.2">
      <c r="A194" s="20" t="str">
        <f>HYPERLINK("https://www.ncbi.nlm.nih.gov/protein/XP_007982312.1?report=genbank&amp;log$=prottop&amp;blast_rank=10&amp;RID=DNNRD06A013","XP_007982312.1")</f>
        <v>XP_007982312.1</v>
      </c>
      <c r="B194" s="45">
        <v>314</v>
      </c>
      <c r="C194" s="20" t="s">
        <v>277</v>
      </c>
      <c r="D194" s="21" t="s">
        <v>276</v>
      </c>
      <c r="E194" s="20">
        <v>455</v>
      </c>
      <c r="F194" s="20">
        <v>455</v>
      </c>
      <c r="G194" s="22">
        <v>1</v>
      </c>
      <c r="H194" s="23">
        <v>6.0000000000000002E-159</v>
      </c>
      <c r="I194" s="20">
        <v>95.54</v>
      </c>
      <c r="J194" s="20"/>
    </row>
    <row r="195" spans="1:10" x14ac:dyDescent="0.2">
      <c r="A195" s="20" t="str">
        <f>HYPERLINK("https://www.ncbi.nlm.nih.gov/protein/XP_037677801.1?report=genbank&amp;log$=prottop&amp;blast_rank=398&amp;RID=DNNRD06A013","XP_037677801.1")</f>
        <v>XP_037677801.1</v>
      </c>
      <c r="B195" s="45">
        <v>236</v>
      </c>
      <c r="C195" s="20" t="s">
        <v>278</v>
      </c>
      <c r="D195" s="21" t="s">
        <v>279</v>
      </c>
      <c r="E195" s="20">
        <v>145</v>
      </c>
      <c r="F195" s="20">
        <v>145</v>
      </c>
      <c r="G195" s="22">
        <v>0.71</v>
      </c>
      <c r="H195" s="23">
        <v>1.9999999999999999E-38</v>
      </c>
      <c r="I195" s="20">
        <v>44.64</v>
      </c>
      <c r="J195" s="20"/>
    </row>
    <row r="196" spans="1:10" x14ac:dyDescent="0.2">
      <c r="A196" s="20" t="str">
        <f>HYPERLINK("https://www.ncbi.nlm.nih.gov/protein/XP_037706180.1?report=genbank&amp;log$=prottop&amp;blast_rank=76&amp;RID=DNNRD06A013","XP_037706180.1")</f>
        <v>XP_037706180.1</v>
      </c>
      <c r="B196" s="45">
        <v>314</v>
      </c>
      <c r="C196" s="20" t="s">
        <v>280</v>
      </c>
      <c r="D196" s="21" t="s">
        <v>279</v>
      </c>
      <c r="E196" s="20">
        <v>398</v>
      </c>
      <c r="F196" s="20">
        <v>398</v>
      </c>
      <c r="G196" s="22">
        <v>1</v>
      </c>
      <c r="H196" s="23">
        <v>2E-136</v>
      </c>
      <c r="I196" s="20">
        <v>83.44</v>
      </c>
      <c r="J196" s="20"/>
    </row>
    <row r="197" spans="1:10" x14ac:dyDescent="0.2">
      <c r="A197" s="20" t="str">
        <f>HYPERLINK("https://www.ncbi.nlm.nih.gov/protein/NP_932728.2?report=genbank&amp;log$=prottop&amp;blast_rank=681&amp;RID=DNNRD06A013","NP_932728.2")</f>
        <v>NP_932728.2</v>
      </c>
      <c r="B197" s="45">
        <v>230</v>
      </c>
      <c r="C197" s="20" t="s">
        <v>281</v>
      </c>
      <c r="D197" s="21" t="s">
        <v>282</v>
      </c>
      <c r="E197" s="20">
        <v>73.2</v>
      </c>
      <c r="F197" s="20">
        <v>73.2</v>
      </c>
      <c r="G197" s="22">
        <v>0.7</v>
      </c>
      <c r="H197" s="23">
        <v>3E-11</v>
      </c>
      <c r="I197" s="20">
        <v>30.33</v>
      </c>
      <c r="J197" s="20"/>
    </row>
    <row r="198" spans="1:10" x14ac:dyDescent="0.2">
      <c r="A198" s="20" t="str">
        <f>HYPERLINK("https://www.ncbi.nlm.nih.gov/protein/NP_848425.1?report=genbank&amp;log$=prottop&amp;blast_rank=709&amp;RID=DNNRD06A013","NP_848425.1")</f>
        <v>NP_848425.1</v>
      </c>
      <c r="B198" s="45">
        <v>232</v>
      </c>
      <c r="C198" s="20" t="s">
        <v>283</v>
      </c>
      <c r="D198" s="21" t="s">
        <v>284</v>
      </c>
      <c r="E198" s="20">
        <v>70.099999999999994</v>
      </c>
      <c r="F198" s="20">
        <v>70.099999999999994</v>
      </c>
      <c r="G198" s="22">
        <v>0.71</v>
      </c>
      <c r="H198" s="23">
        <v>4.0000000000000001E-10</v>
      </c>
      <c r="I198" s="20">
        <v>29.76</v>
      </c>
      <c r="J198" s="20"/>
    </row>
    <row r="199" spans="1:10" x14ac:dyDescent="0.2">
      <c r="A199" s="20" t="str">
        <f>HYPERLINK("https://www.ncbi.nlm.nih.gov/protein/XP_005282427.2?report=genbank&amp;log$=prottop&amp;blast_rank=405&amp;RID=DNNRD06A013","XP_005282427.2")</f>
        <v>XP_005282427.2</v>
      </c>
      <c r="B199" s="45">
        <v>223</v>
      </c>
      <c r="C199" s="20" t="s">
        <v>285</v>
      </c>
      <c r="D199" s="21" t="s">
        <v>286</v>
      </c>
      <c r="E199" s="20">
        <v>143</v>
      </c>
      <c r="F199" s="20">
        <v>143</v>
      </c>
      <c r="G199" s="22">
        <v>0.72</v>
      </c>
      <c r="H199" s="23">
        <v>9.0000000000000002E-38</v>
      </c>
      <c r="I199" s="20">
        <v>40.79</v>
      </c>
      <c r="J199" s="20"/>
    </row>
    <row r="200" spans="1:10" x14ac:dyDescent="0.2">
      <c r="A200" s="20" t="str">
        <f>HYPERLINK("https://www.ncbi.nlm.nih.gov/protein/XP_006873698.1?report=genbank&amp;log$=prottop&amp;blast_rank=141&amp;RID=DNNRD06A013","XP_006873698.1")</f>
        <v>XP_006873698.1</v>
      </c>
      <c r="B200" s="45">
        <v>308</v>
      </c>
      <c r="C200" s="20" t="s">
        <v>287</v>
      </c>
      <c r="D200" s="21" t="s">
        <v>288</v>
      </c>
      <c r="E200" s="20">
        <v>360</v>
      </c>
      <c r="F200" s="20">
        <v>360</v>
      </c>
      <c r="G200" s="22">
        <v>1</v>
      </c>
      <c r="H200" s="23">
        <v>9.9999999999999998E-122</v>
      </c>
      <c r="I200" s="20">
        <v>72.290000000000006</v>
      </c>
      <c r="J200" s="20"/>
    </row>
    <row r="201" spans="1:10" x14ac:dyDescent="0.2">
      <c r="A201" s="20" t="str">
        <f>HYPERLINK("https://www.ncbi.nlm.nih.gov/protein/XP_006877235.1?report=genbank&amp;log$=prottop&amp;blast_rank=311&amp;RID=DNNRD06A013","XP_006877235.1")</f>
        <v>XP_006877235.1</v>
      </c>
      <c r="B201" s="45">
        <v>235</v>
      </c>
      <c r="C201" s="20" t="s">
        <v>289</v>
      </c>
      <c r="D201" s="21" t="s">
        <v>288</v>
      </c>
      <c r="E201" s="20">
        <v>151</v>
      </c>
      <c r="F201" s="20">
        <v>151</v>
      </c>
      <c r="G201" s="22">
        <v>0.7</v>
      </c>
      <c r="H201" s="23">
        <v>9.9999999999999993E-41</v>
      </c>
      <c r="I201" s="20">
        <v>46.22</v>
      </c>
      <c r="J201" s="20"/>
    </row>
    <row r="202" spans="1:10" x14ac:dyDescent="0.2">
      <c r="A202" s="20" t="str">
        <f>HYPERLINK("https://www.ncbi.nlm.nih.gov/protein/XP_044732649.1?report=genbank&amp;log$=prottop&amp;blast_rank=596&amp;RID=DNNRD06A013","XP_044732649.1")</f>
        <v>XP_044732649.1</v>
      </c>
      <c r="B202" s="45">
        <v>312</v>
      </c>
      <c r="C202" s="20" t="s">
        <v>290</v>
      </c>
      <c r="D202" s="21" t="s">
        <v>291</v>
      </c>
      <c r="E202" s="20">
        <v>82</v>
      </c>
      <c r="F202" s="20">
        <v>82</v>
      </c>
      <c r="G202" s="22">
        <v>0.48</v>
      </c>
      <c r="H202" s="23">
        <v>5.9999999999999997E-14</v>
      </c>
      <c r="I202" s="20">
        <v>35.71</v>
      </c>
      <c r="J202" s="20"/>
    </row>
    <row r="203" spans="1:10" x14ac:dyDescent="0.2">
      <c r="A203" s="20" t="str">
        <f>HYPERLINK("https://www.ncbi.nlm.nih.gov/protein/XP_044733344.1?report=genbank&amp;log$=prottop&amp;blast_rank=588&amp;RID=DNNRD06A013","XP_044733344.1")</f>
        <v>XP_044733344.1</v>
      </c>
      <c r="B203" s="45">
        <v>287</v>
      </c>
      <c r="C203" s="20" t="s">
        <v>292</v>
      </c>
      <c r="D203" s="21" t="s">
        <v>291</v>
      </c>
      <c r="E203" s="20">
        <v>82.4</v>
      </c>
      <c r="F203" s="20">
        <v>82.4</v>
      </c>
      <c r="G203" s="22">
        <v>0.48</v>
      </c>
      <c r="H203" s="23">
        <v>2.9999999999999998E-14</v>
      </c>
      <c r="I203" s="20">
        <v>36.36</v>
      </c>
      <c r="J203" s="20"/>
    </row>
    <row r="204" spans="1:10" x14ac:dyDescent="0.2">
      <c r="A204" s="20" t="str">
        <f>HYPERLINK("https://www.ncbi.nlm.nih.gov/protein/XP_014241279.1?report=genbank&amp;log$=prottop&amp;blast_rank=583&amp;RID=DNNRD06A013","XP_014241279.1")</f>
        <v>XP_014241279.1</v>
      </c>
      <c r="B204" s="45">
        <v>326</v>
      </c>
      <c r="C204" s="20" t="s">
        <v>293</v>
      </c>
      <c r="D204" s="21" t="s">
        <v>294</v>
      </c>
      <c r="E204" s="20">
        <v>83.6</v>
      </c>
      <c r="F204" s="20">
        <v>83.6</v>
      </c>
      <c r="G204" s="22">
        <v>0.62</v>
      </c>
      <c r="H204" s="23">
        <v>2E-14</v>
      </c>
      <c r="I204" s="20">
        <v>31.53</v>
      </c>
      <c r="J204" s="20"/>
    </row>
    <row r="205" spans="1:10" x14ac:dyDescent="0.2">
      <c r="A205" s="20" t="str">
        <f>HYPERLINK("https://www.ncbi.nlm.nih.gov/protein/XP_009860559.1?report=genbank&amp;log$=prottop&amp;blast_rank=510&amp;RID=DNNRD06A013","XP_009860559.1")</f>
        <v>XP_009860559.1</v>
      </c>
      <c r="B205" s="45">
        <v>440</v>
      </c>
      <c r="C205" s="20" t="s">
        <v>295</v>
      </c>
      <c r="D205" s="21" t="s">
        <v>296</v>
      </c>
      <c r="E205" s="20">
        <v>103</v>
      </c>
      <c r="F205" s="20">
        <v>103</v>
      </c>
      <c r="G205" s="22">
        <v>0.67</v>
      </c>
      <c r="H205" s="23">
        <v>5.9999999999999998E-21</v>
      </c>
      <c r="I205" s="20">
        <v>34.090000000000003</v>
      </c>
      <c r="J205" s="20"/>
    </row>
    <row r="206" spans="1:10" x14ac:dyDescent="0.2">
      <c r="A206" s="20" t="str">
        <f>HYPERLINK("https://www.ncbi.nlm.nih.gov/protein/XP_018667031.1?report=genbank&amp;log$=prottop&amp;blast_rank=486&amp;RID=DNNRD06A013","XP_018667031.1")</f>
        <v>XP_018667031.1</v>
      </c>
      <c r="B206" s="45">
        <v>477</v>
      </c>
      <c r="C206" s="20" t="s">
        <v>297</v>
      </c>
      <c r="D206" s="21" t="s">
        <v>296</v>
      </c>
      <c r="E206" s="20">
        <v>113</v>
      </c>
      <c r="F206" s="20">
        <v>167</v>
      </c>
      <c r="G206" s="22">
        <v>0.68</v>
      </c>
      <c r="H206" s="23">
        <v>3E-24</v>
      </c>
      <c r="I206" s="20">
        <v>36.700000000000003</v>
      </c>
      <c r="J206" s="20"/>
    </row>
    <row r="207" spans="1:10" x14ac:dyDescent="0.2">
      <c r="A207" s="20" t="str">
        <f>HYPERLINK("https://www.ncbi.nlm.nih.gov/protein/XP_044759093.1?report=genbank&amp;log$=prottop&amp;blast_rank=619&amp;RID=DNNRD06A013","XP_044759093.1")</f>
        <v>XP_044759093.1</v>
      </c>
      <c r="B207" s="45">
        <v>326</v>
      </c>
      <c r="C207" s="20" t="s">
        <v>298</v>
      </c>
      <c r="D207" s="21" t="s">
        <v>299</v>
      </c>
      <c r="E207" s="20">
        <v>80.099999999999994</v>
      </c>
      <c r="F207" s="20">
        <v>80.099999999999994</v>
      </c>
      <c r="G207" s="22">
        <v>0.51</v>
      </c>
      <c r="H207" s="23">
        <v>4.0000000000000001E-13</v>
      </c>
      <c r="I207" s="20">
        <v>34.130000000000003</v>
      </c>
      <c r="J207" s="20"/>
    </row>
    <row r="208" spans="1:10" x14ac:dyDescent="0.2">
      <c r="A208" s="20" t="str">
        <f>HYPERLINK("https://www.ncbi.nlm.nih.gov/protein/XP_044759101.1?report=genbank&amp;log$=prottop&amp;blast_rank=618&amp;RID=DNNRD06A013","XP_044759101.1")</f>
        <v>XP_044759101.1</v>
      </c>
      <c r="B208" s="45">
        <v>322</v>
      </c>
      <c r="C208" s="20" t="s">
        <v>300</v>
      </c>
      <c r="D208" s="21" t="s">
        <v>299</v>
      </c>
      <c r="E208" s="20">
        <v>80.099999999999994</v>
      </c>
      <c r="F208" s="20">
        <v>80.099999999999994</v>
      </c>
      <c r="G208" s="22">
        <v>0.51</v>
      </c>
      <c r="H208" s="23">
        <v>2.9999999999999998E-13</v>
      </c>
      <c r="I208" s="20">
        <v>34.130000000000003</v>
      </c>
      <c r="J208" s="20"/>
    </row>
    <row r="209" spans="1:10" x14ac:dyDescent="0.2">
      <c r="A209" s="20" t="str">
        <f>HYPERLINK("https://www.ncbi.nlm.nih.gov/protein/XP_045505176.1?report=genbank&amp;log$=prottop&amp;blast_rank=580&amp;RID=DNNRD06A013","XP_045505176.1")</f>
        <v>XP_045505176.1</v>
      </c>
      <c r="B209" s="45">
        <v>288</v>
      </c>
      <c r="C209" s="20" t="s">
        <v>301</v>
      </c>
      <c r="D209" s="21" t="s">
        <v>302</v>
      </c>
      <c r="E209" s="20">
        <v>83.6</v>
      </c>
      <c r="F209" s="20">
        <v>83.6</v>
      </c>
      <c r="G209" s="22">
        <v>0.7</v>
      </c>
      <c r="H209" s="23">
        <v>1E-14</v>
      </c>
      <c r="I209" s="20">
        <v>27.02</v>
      </c>
      <c r="J209" s="20"/>
    </row>
    <row r="210" spans="1:10" x14ac:dyDescent="0.2">
      <c r="A210" s="20" t="str">
        <f>HYPERLINK("https://www.ncbi.nlm.nih.gov/protein/XP_045505318.1?report=genbank&amp;log$=prottop&amp;blast_rank=699&amp;RID=DNNRD06A013","XP_045505318.1")</f>
        <v>XP_045505318.1</v>
      </c>
      <c r="B210" s="45">
        <v>286</v>
      </c>
      <c r="C210" s="20" t="s">
        <v>303</v>
      </c>
      <c r="D210" s="21" t="s">
        <v>302</v>
      </c>
      <c r="E210" s="20">
        <v>71.599999999999994</v>
      </c>
      <c r="F210" s="20">
        <v>71.599999999999994</v>
      </c>
      <c r="G210" s="22">
        <v>0.48</v>
      </c>
      <c r="H210" s="23">
        <v>2.0000000000000001E-10</v>
      </c>
      <c r="I210" s="20">
        <v>33.97</v>
      </c>
      <c r="J210" s="20"/>
    </row>
    <row r="211" spans="1:10" x14ac:dyDescent="0.2">
      <c r="A211" s="20" t="str">
        <f>HYPERLINK("https://www.ncbi.nlm.nih.gov/protein/XP_045505319.1?report=genbank&amp;log$=prottop&amp;blast_rank=700&amp;RID=DNNRD06A013","XP_045505319.1")</f>
        <v>XP_045505319.1</v>
      </c>
      <c r="B211" s="45">
        <v>282</v>
      </c>
      <c r="C211" s="20" t="s">
        <v>304</v>
      </c>
      <c r="D211" s="21" t="s">
        <v>302</v>
      </c>
      <c r="E211" s="20">
        <v>71.2</v>
      </c>
      <c r="F211" s="20">
        <v>71.2</v>
      </c>
      <c r="G211" s="22">
        <v>0.48</v>
      </c>
      <c r="H211" s="23">
        <v>2.0000000000000001E-10</v>
      </c>
      <c r="I211" s="20">
        <v>33.97</v>
      </c>
      <c r="J211" s="20"/>
    </row>
    <row r="212" spans="1:10" x14ac:dyDescent="0.2">
      <c r="A212" s="20" t="str">
        <f>HYPERLINK("https://www.ncbi.nlm.nih.gov/protein/XP_043256800.1?report=genbank&amp;log$=prottop&amp;blast_rank=775&amp;RID=DNNRD06A013","XP_043256800.1")</f>
        <v>XP_043256800.1</v>
      </c>
      <c r="B212" s="45">
        <v>316</v>
      </c>
      <c r="C212" s="20" t="s">
        <v>305</v>
      </c>
      <c r="D212" s="21" t="s">
        <v>306</v>
      </c>
      <c r="E212" s="20">
        <v>61.6</v>
      </c>
      <c r="F212" s="20">
        <v>61.6</v>
      </c>
      <c r="G212" s="22">
        <v>0.47</v>
      </c>
      <c r="H212" s="23">
        <v>6.9999999999999997E-7</v>
      </c>
      <c r="I212" s="20">
        <v>32.68</v>
      </c>
      <c r="J212" s="20"/>
    </row>
    <row r="213" spans="1:10" x14ac:dyDescent="0.2">
      <c r="A213" s="20" t="str">
        <f>HYPERLINK("https://www.ncbi.nlm.nih.gov/protein/XP_011811233.1?report=genbank&amp;log$=prottop&amp;blast_rank=247&amp;RID=DNNRD06A013","XP_011811233.1")</f>
        <v>XP_011811233.1</v>
      </c>
      <c r="B213" s="45">
        <v>264</v>
      </c>
      <c r="C213" s="20" t="s">
        <v>307</v>
      </c>
      <c r="D213" s="21" t="s">
        <v>308</v>
      </c>
      <c r="E213" s="20">
        <v>155</v>
      </c>
      <c r="F213" s="20">
        <v>155</v>
      </c>
      <c r="G213" s="22">
        <v>0.7</v>
      </c>
      <c r="H213" s="23">
        <v>6.0000000000000005E-42</v>
      </c>
      <c r="I213" s="20">
        <v>46.9</v>
      </c>
      <c r="J213" s="20"/>
    </row>
    <row r="214" spans="1:10" x14ac:dyDescent="0.2">
      <c r="A214" s="20" t="str">
        <f>HYPERLINK("https://www.ncbi.nlm.nih.gov/protein/XP_011794555.1?report=genbank&amp;log$=prottop&amp;blast_rank=77&amp;RID=DNNRD06A013","XP_011794555.1")</f>
        <v>XP_011794555.1</v>
      </c>
      <c r="B214" s="45">
        <v>339</v>
      </c>
      <c r="C214" s="20" t="s">
        <v>309</v>
      </c>
      <c r="D214" s="21" t="s">
        <v>308</v>
      </c>
      <c r="E214" s="20">
        <v>398</v>
      </c>
      <c r="F214" s="20">
        <v>398</v>
      </c>
      <c r="G214" s="22">
        <v>0.91</v>
      </c>
      <c r="H214" s="23">
        <v>5.0000000000000002E-136</v>
      </c>
      <c r="I214" s="20">
        <v>95.47</v>
      </c>
      <c r="J214" s="20"/>
    </row>
    <row r="215" spans="1:10" x14ac:dyDescent="0.2">
      <c r="A215" s="20" t="str">
        <f>HYPERLINK("https://www.ncbi.nlm.nih.gov/protein/XP_011794556.1?report=genbank&amp;log$=prottop&amp;blast_rank=13&amp;RID=DNNRD06A013","XP_011794556.1")</f>
        <v>XP_011794556.1</v>
      </c>
      <c r="B215" s="45">
        <v>314</v>
      </c>
      <c r="C215" s="20" t="s">
        <v>310</v>
      </c>
      <c r="D215" s="21" t="s">
        <v>308</v>
      </c>
      <c r="E215" s="20">
        <v>454</v>
      </c>
      <c r="F215" s="20">
        <v>454</v>
      </c>
      <c r="G215" s="22">
        <v>1</v>
      </c>
      <c r="H215" s="23">
        <v>1.0000000000000001E-158</v>
      </c>
      <c r="I215" s="20">
        <v>95.86</v>
      </c>
      <c r="J215" s="20"/>
    </row>
    <row r="216" spans="1:10" x14ac:dyDescent="0.2">
      <c r="A216" s="20" t="str">
        <f>HYPERLINK("https://www.ncbi.nlm.nih.gov/protein/XP_011794557.1?report=genbank&amp;log$=prottop&amp;blast_rank=24&amp;RID=DNNRD06A013","XP_011794557.1")</f>
        <v>XP_011794557.1</v>
      </c>
      <c r="B216" s="45">
        <v>304</v>
      </c>
      <c r="C216" s="20" t="s">
        <v>311</v>
      </c>
      <c r="D216" s="21" t="s">
        <v>308</v>
      </c>
      <c r="E216" s="20">
        <v>435</v>
      </c>
      <c r="F216" s="20">
        <v>435</v>
      </c>
      <c r="G216" s="22">
        <v>0.96</v>
      </c>
      <c r="H216" s="23">
        <v>3.9999999999999998E-151</v>
      </c>
      <c r="I216" s="20">
        <v>95.72</v>
      </c>
      <c r="J216" s="20"/>
    </row>
    <row r="217" spans="1:10" x14ac:dyDescent="0.2">
      <c r="A217" s="20" t="str">
        <f>HYPERLINK("https://www.ncbi.nlm.nih.gov/protein/YP_009118513.1?report=genbank&amp;log$=prottop&amp;blast_rank=643&amp;RID=DNNRD06A013","YP_009118513.1")</f>
        <v>YP_009118513.1</v>
      </c>
      <c r="B217" s="45">
        <v>230</v>
      </c>
      <c r="C217" s="20" t="s">
        <v>312</v>
      </c>
      <c r="D217" s="21" t="s">
        <v>313</v>
      </c>
      <c r="E217" s="20">
        <v>76.3</v>
      </c>
      <c r="F217" s="20">
        <v>76.3</v>
      </c>
      <c r="G217" s="22">
        <v>0.7</v>
      </c>
      <c r="H217" s="23">
        <v>3.0000000000000001E-12</v>
      </c>
      <c r="I217" s="20">
        <v>29.1</v>
      </c>
      <c r="J217" s="20"/>
    </row>
    <row r="218" spans="1:10" x14ac:dyDescent="0.2">
      <c r="A218" s="20" t="str">
        <f>HYPERLINK("https://www.ncbi.nlm.nih.gov/protein/XP_004695264.1?report=genbank&amp;log$=prottop&amp;blast_rank=271&amp;RID=DNNRD06A013","XP_004695264.1")</f>
        <v>XP_004695264.1</v>
      </c>
      <c r="B218" s="45">
        <v>236</v>
      </c>
      <c r="C218" s="20" t="s">
        <v>314</v>
      </c>
      <c r="D218" s="21" t="s">
        <v>315</v>
      </c>
      <c r="E218" s="20">
        <v>153</v>
      </c>
      <c r="F218" s="20">
        <v>153</v>
      </c>
      <c r="G218" s="22">
        <v>0.7</v>
      </c>
      <c r="H218" s="23">
        <v>2.9999999999999999E-41</v>
      </c>
      <c r="I218" s="20">
        <v>46.02</v>
      </c>
      <c r="J218" s="20"/>
    </row>
    <row r="219" spans="1:10" x14ac:dyDescent="0.2">
      <c r="A219" s="20" t="str">
        <f>HYPERLINK("https://www.ncbi.nlm.nih.gov/protein/XP_004676264.1?report=genbank&amp;log$=prottop&amp;blast_rank=83&amp;RID=DNNRD06A013","XP_004676264.1")</f>
        <v>XP_004676264.1</v>
      </c>
      <c r="B219" s="45">
        <v>314</v>
      </c>
      <c r="C219" s="20" t="s">
        <v>316</v>
      </c>
      <c r="D219" s="21" t="s">
        <v>315</v>
      </c>
      <c r="E219" s="20">
        <v>394</v>
      </c>
      <c r="F219" s="20">
        <v>394</v>
      </c>
      <c r="G219" s="22">
        <v>0.99</v>
      </c>
      <c r="H219" s="23">
        <v>8.0000000000000003E-135</v>
      </c>
      <c r="I219" s="20">
        <v>79.62</v>
      </c>
      <c r="J219" s="20"/>
    </row>
    <row r="220" spans="1:10" x14ac:dyDescent="0.2">
      <c r="A220" s="20" t="str">
        <f>HYPERLINK("https://www.ncbi.nlm.nih.gov/protein/XP_031635172.1?report=genbank&amp;log$=prottop&amp;blast_rank=880&amp;RID=DNNRD06A013","XP_031635172.1")</f>
        <v>XP_031635172.1</v>
      </c>
      <c r="B220" s="45">
        <v>160</v>
      </c>
      <c r="C220" s="20" t="s">
        <v>317</v>
      </c>
      <c r="D220" s="21" t="s">
        <v>318</v>
      </c>
      <c r="E220" s="20">
        <v>50.1</v>
      </c>
      <c r="F220" s="20">
        <v>50.1</v>
      </c>
      <c r="G220" s="22">
        <v>0.41</v>
      </c>
      <c r="H220" s="20">
        <v>1E-3</v>
      </c>
      <c r="I220" s="20">
        <v>32.82</v>
      </c>
      <c r="J220" s="20"/>
    </row>
    <row r="221" spans="1:10" x14ac:dyDescent="0.2">
      <c r="A221" s="20" t="str">
        <f>HYPERLINK("https://www.ncbi.nlm.nih.gov/protein/XP_031619749.1?report=genbank&amp;log$=prottop&amp;blast_rank=711&amp;RID=DNNRD06A013","XP_031619749.1")</f>
        <v>XP_031619749.1</v>
      </c>
      <c r="B221" s="45">
        <v>285</v>
      </c>
      <c r="C221" s="20" t="s">
        <v>317</v>
      </c>
      <c r="D221" s="21" t="s">
        <v>318</v>
      </c>
      <c r="E221" s="20">
        <v>70.5</v>
      </c>
      <c r="F221" s="20">
        <v>70.5</v>
      </c>
      <c r="G221" s="22">
        <v>0.5</v>
      </c>
      <c r="H221" s="23">
        <v>5.0000000000000003E-10</v>
      </c>
      <c r="I221" s="20">
        <v>31.45</v>
      </c>
      <c r="J221" s="20"/>
    </row>
    <row r="222" spans="1:10" x14ac:dyDescent="0.2">
      <c r="A222" s="20" t="str">
        <f>HYPERLINK("https://www.ncbi.nlm.nih.gov/protein/XP_014207458.1?report=genbank&amp;log$=prottop&amp;blast_rank=745&amp;RID=DNNRD06A013","XP_014207458.1")</f>
        <v>XP_014207458.1</v>
      </c>
      <c r="B222" s="45">
        <v>393</v>
      </c>
      <c r="C222" s="20" t="s">
        <v>319</v>
      </c>
      <c r="D222" s="21" t="s">
        <v>320</v>
      </c>
      <c r="E222" s="20">
        <v>67.400000000000006</v>
      </c>
      <c r="F222" s="20">
        <v>67.400000000000006</v>
      </c>
      <c r="G222" s="22">
        <v>0.48</v>
      </c>
      <c r="H222" s="23">
        <v>1E-8</v>
      </c>
      <c r="I222" s="20">
        <v>33.119999999999997</v>
      </c>
      <c r="J222" s="20"/>
    </row>
    <row r="223" spans="1:10" x14ac:dyDescent="0.2">
      <c r="A223" s="20" t="str">
        <f>HYPERLINK("https://www.ncbi.nlm.nih.gov/protein/XP_034302786.1?report=genbank&amp;log$=prottop&amp;blast_rank=892&amp;RID=DNNRD06A013","XP_034302786.1")</f>
        <v>XP_034302786.1</v>
      </c>
      <c r="B223" s="45">
        <v>358</v>
      </c>
      <c r="C223" s="20" t="s">
        <v>321</v>
      </c>
      <c r="D223" s="21" t="s">
        <v>322</v>
      </c>
      <c r="E223" s="20">
        <v>49.7</v>
      </c>
      <c r="F223" s="20">
        <v>49.7</v>
      </c>
      <c r="G223" s="22">
        <v>0.35</v>
      </c>
      <c r="H223" s="20">
        <v>6.0000000000000001E-3</v>
      </c>
      <c r="I223" s="20">
        <v>31.58</v>
      </c>
      <c r="J223" s="20"/>
    </row>
    <row r="224" spans="1:10" x14ac:dyDescent="0.2">
      <c r="A224" s="20" t="str">
        <f>HYPERLINK("https://www.ncbi.nlm.nih.gov/protein/XP_034303481.1?report=genbank&amp;log$=prottop&amp;blast_rank=534&amp;RID=DNNRD06A013","XP_034303481.1")</f>
        <v>XP_034303481.1</v>
      </c>
      <c r="B224" s="45">
        <v>554</v>
      </c>
      <c r="C224" s="20" t="s">
        <v>323</v>
      </c>
      <c r="D224" s="21" t="s">
        <v>322</v>
      </c>
      <c r="E224" s="20">
        <v>95.9</v>
      </c>
      <c r="F224" s="20">
        <v>151</v>
      </c>
      <c r="G224" s="22">
        <v>0.69</v>
      </c>
      <c r="H224" s="23">
        <v>5.0000000000000004E-18</v>
      </c>
      <c r="I224" s="20">
        <v>43.12</v>
      </c>
      <c r="J224" s="20"/>
    </row>
    <row r="225" spans="1:10" x14ac:dyDescent="0.2">
      <c r="A225" s="20" t="str">
        <f>HYPERLINK("https://www.ncbi.nlm.nih.gov/protein/XP_022326528.1?report=genbank&amp;log$=prottop&amp;blast_rank=632&amp;RID=DNNRD06A013","XP_022326528.1")</f>
        <v>XP_022326528.1</v>
      </c>
      <c r="B225" s="45">
        <v>546</v>
      </c>
      <c r="C225" s="20" t="s">
        <v>324</v>
      </c>
      <c r="D225" s="21" t="s">
        <v>325</v>
      </c>
      <c r="E225" s="20">
        <v>79.7</v>
      </c>
      <c r="F225" s="20">
        <v>135</v>
      </c>
      <c r="G225" s="22">
        <v>0.69</v>
      </c>
      <c r="H225" s="23">
        <v>9.9999999999999998E-13</v>
      </c>
      <c r="I225" s="20">
        <v>36.81</v>
      </c>
      <c r="J225" s="20"/>
    </row>
    <row r="226" spans="1:10" x14ac:dyDescent="0.2">
      <c r="A226" s="20" t="str">
        <f>HYPERLINK("https://www.ncbi.nlm.nih.gov/protein/XP_003506589.1?report=genbank&amp;log$=prottop&amp;blast_rank=362&amp;RID=DNNRD06A013","XP_003506589.1")</f>
        <v>XP_003506589.1</v>
      </c>
      <c r="B226" s="45">
        <v>236</v>
      </c>
      <c r="C226" s="20" t="s">
        <v>326</v>
      </c>
      <c r="D226" s="21" t="s">
        <v>327</v>
      </c>
      <c r="E226" s="20">
        <v>149</v>
      </c>
      <c r="F226" s="20">
        <v>149</v>
      </c>
      <c r="G226" s="22">
        <v>0.7</v>
      </c>
      <c r="H226" s="23">
        <v>7.9999999999999994E-40</v>
      </c>
      <c r="I226" s="20">
        <v>44.69</v>
      </c>
      <c r="J226" s="20"/>
    </row>
    <row r="227" spans="1:10" x14ac:dyDescent="0.2">
      <c r="A227" s="20" t="str">
        <f>HYPERLINK("https://www.ncbi.nlm.nih.gov/protein/XP_003504288.2?report=genbank&amp;log$=prottop&amp;blast_rank=147&amp;RID=DNNRD06A013","XP_003504288.2")</f>
        <v>XP_003504288.2</v>
      </c>
      <c r="B227" s="45">
        <v>343</v>
      </c>
      <c r="C227" s="20" t="s">
        <v>328</v>
      </c>
      <c r="D227" s="21" t="s">
        <v>327</v>
      </c>
      <c r="E227" s="20">
        <v>360</v>
      </c>
      <c r="F227" s="20">
        <v>360</v>
      </c>
      <c r="G227" s="22">
        <v>1</v>
      </c>
      <c r="H227" s="23">
        <v>5.9999999999999999E-121</v>
      </c>
      <c r="I227" s="20">
        <v>76.19</v>
      </c>
      <c r="J227" s="20"/>
    </row>
    <row r="228" spans="1:10" x14ac:dyDescent="0.2">
      <c r="A228" s="20" t="str">
        <f>HYPERLINK("https://www.ncbi.nlm.nih.gov/protein/XP_035299874.1?report=genbank&amp;log$=prottop&amp;blast_rank=188&amp;RID=DNNRD06A013","XP_035299874.1")</f>
        <v>XP_035299874.1</v>
      </c>
      <c r="B228" s="45">
        <v>305</v>
      </c>
      <c r="C228" s="20" t="s">
        <v>329</v>
      </c>
      <c r="D228" s="21" t="s">
        <v>327</v>
      </c>
      <c r="E228" s="20">
        <v>276</v>
      </c>
      <c r="F228" s="20">
        <v>276</v>
      </c>
      <c r="G228" s="22">
        <v>1</v>
      </c>
      <c r="H228" s="23">
        <v>1.9999999999999999E-88</v>
      </c>
      <c r="I228" s="20">
        <v>67.2</v>
      </c>
      <c r="J228" s="20"/>
    </row>
    <row r="229" spans="1:10" x14ac:dyDescent="0.2">
      <c r="A229" s="20" t="str">
        <f>HYPERLINK("https://www.ncbi.nlm.nih.gov/protein/XP_039206595.1?report=genbank&amp;log$=prottop&amp;blast_rank=425&amp;RID=DNNRD06A013","XP_039206595.1")</f>
        <v>XP_039206595.1</v>
      </c>
      <c r="B229" s="45">
        <v>223</v>
      </c>
      <c r="C229" s="20" t="s">
        <v>330</v>
      </c>
      <c r="D229" s="21" t="s">
        <v>331</v>
      </c>
      <c r="E229" s="20">
        <v>138</v>
      </c>
      <c r="F229" s="20">
        <v>138</v>
      </c>
      <c r="G229" s="22">
        <v>0.7</v>
      </c>
      <c r="H229" s="23">
        <v>1E-35</v>
      </c>
      <c r="I229" s="20">
        <v>40.270000000000003</v>
      </c>
      <c r="J229" s="20"/>
    </row>
    <row r="230" spans="1:10" x14ac:dyDescent="0.2">
      <c r="A230" s="20" t="str">
        <f>HYPERLINK("https://www.ncbi.nlm.nih.gov/protein/XP_023725400.1?report=genbank&amp;log$=prottop&amp;blast_rank=640&amp;RID=DNNRD06A013","XP_023725400.1")</f>
        <v>XP_023725400.1</v>
      </c>
      <c r="B230" s="45">
        <v>453</v>
      </c>
      <c r="C230" s="20" t="s">
        <v>332</v>
      </c>
      <c r="D230" s="21" t="s">
        <v>333</v>
      </c>
      <c r="E230" s="20">
        <v>78.599999999999994</v>
      </c>
      <c r="F230" s="20">
        <v>78.599999999999994</v>
      </c>
      <c r="G230" s="22">
        <v>0.54</v>
      </c>
      <c r="H230" s="23">
        <v>2E-12</v>
      </c>
      <c r="I230" s="20">
        <v>33.92</v>
      </c>
      <c r="J230" s="20"/>
    </row>
    <row r="231" spans="1:10" x14ac:dyDescent="0.2">
      <c r="A231" s="20" t="str">
        <f>HYPERLINK("https://www.ncbi.nlm.nih.gov/protein/XP_026482777.1?report=genbank&amp;log$=prottop&amp;blast_rank=558&amp;RID=DNNRD06A013","XP_026482777.1")</f>
        <v>XP_026482777.1</v>
      </c>
      <c r="B231" s="45">
        <v>335</v>
      </c>
      <c r="C231" s="20" t="s">
        <v>334</v>
      </c>
      <c r="D231" s="21" t="s">
        <v>335</v>
      </c>
      <c r="E231" s="20">
        <v>87.8</v>
      </c>
      <c r="F231" s="20">
        <v>140</v>
      </c>
      <c r="G231" s="22">
        <v>0.68</v>
      </c>
      <c r="H231" s="23">
        <v>7.9999999999999998E-16</v>
      </c>
      <c r="I231" s="20">
        <v>36.25</v>
      </c>
      <c r="J231" s="20"/>
    </row>
    <row r="232" spans="1:10" x14ac:dyDescent="0.2">
      <c r="A232" s="20" t="str">
        <f>HYPERLINK("https://www.ncbi.nlm.nih.gov/protein/XP_026481749.1?report=genbank&amp;log$=prottop&amp;blast_rank=541&amp;RID=DNNRD06A013","XP_026481749.1")</f>
        <v>XP_026481749.1</v>
      </c>
      <c r="B232" s="45">
        <v>335</v>
      </c>
      <c r="C232" s="20" t="s">
        <v>336</v>
      </c>
      <c r="D232" s="21" t="s">
        <v>335</v>
      </c>
      <c r="E232" s="20">
        <v>92</v>
      </c>
      <c r="F232" s="20">
        <v>145</v>
      </c>
      <c r="G232" s="22">
        <v>0.68</v>
      </c>
      <c r="H232" s="23">
        <v>2.0000000000000001E-17</v>
      </c>
      <c r="I232" s="20">
        <v>36.880000000000003</v>
      </c>
      <c r="J232" s="20"/>
    </row>
    <row r="233" spans="1:10" x14ac:dyDescent="0.2">
      <c r="A233" s="20" t="str">
        <f>HYPERLINK("https://www.ncbi.nlm.nih.gov/protein/XP_039450796.1?report=genbank&amp;log$=prottop&amp;blast_rank=567&amp;RID=DNNRD06A013","XP_039450796.1")</f>
        <v>XP_039450796.1</v>
      </c>
      <c r="B233" s="45">
        <v>325</v>
      </c>
      <c r="C233" s="20" t="s">
        <v>337</v>
      </c>
      <c r="D233" s="21" t="s">
        <v>338</v>
      </c>
      <c r="E233" s="20">
        <v>85.5</v>
      </c>
      <c r="F233" s="20">
        <v>85.5</v>
      </c>
      <c r="G233" s="22">
        <v>0.5</v>
      </c>
      <c r="H233" s="23">
        <v>4.0000000000000003E-15</v>
      </c>
      <c r="I233" s="20">
        <v>37.270000000000003</v>
      </c>
      <c r="J233" s="20"/>
    </row>
    <row r="234" spans="1:10" x14ac:dyDescent="0.2">
      <c r="A234" s="20" t="str">
        <f>HYPERLINK("https://www.ncbi.nlm.nih.gov/protein/XP_039445333.1?report=genbank&amp;log$=prottop&amp;blast_rank=691&amp;RID=DNNRD06A013","XP_039445333.1")</f>
        <v>XP_039445333.1</v>
      </c>
      <c r="B234" s="45">
        <v>208</v>
      </c>
      <c r="C234" s="20" t="s">
        <v>339</v>
      </c>
      <c r="D234" s="21" t="s">
        <v>338</v>
      </c>
      <c r="E234" s="20">
        <v>71.2</v>
      </c>
      <c r="F234" s="20">
        <v>71.2</v>
      </c>
      <c r="G234" s="22">
        <v>0.68</v>
      </c>
      <c r="H234" s="23">
        <v>1E-10</v>
      </c>
      <c r="I234" s="20">
        <v>31.02</v>
      </c>
      <c r="J234" s="20"/>
    </row>
    <row r="235" spans="1:10" x14ac:dyDescent="0.2">
      <c r="A235" s="20" t="str">
        <f>HYPERLINK("https://www.ncbi.nlm.nih.gov/protein/XP_001845768.2?report=genbank&amp;log$=prottop&amp;blast_rank=568&amp;RID=DNNRD06A013","XP_001845768.2")</f>
        <v>XP_001845768.2</v>
      </c>
      <c r="B235" s="45">
        <v>325</v>
      </c>
      <c r="C235" s="20" t="s">
        <v>340</v>
      </c>
      <c r="D235" s="21" t="s">
        <v>341</v>
      </c>
      <c r="E235" s="20">
        <v>85.5</v>
      </c>
      <c r="F235" s="20">
        <v>85.5</v>
      </c>
      <c r="G235" s="22">
        <v>0.5</v>
      </c>
      <c r="H235" s="23">
        <v>5E-15</v>
      </c>
      <c r="I235" s="20">
        <v>37.270000000000003</v>
      </c>
      <c r="J235" s="20"/>
    </row>
    <row r="236" spans="1:10" x14ac:dyDescent="0.2">
      <c r="A236" s="20" t="str">
        <f>HYPERLINK("https://www.ncbi.nlm.nih.gov/protein/XP_038111103.1?report=genbank&amp;log$=prottop&amp;blast_rank=712&amp;RID=DNNRD06A013","XP_038111103.1")</f>
        <v>XP_038111103.1</v>
      </c>
      <c r="B236" s="45">
        <v>208</v>
      </c>
      <c r="C236" s="20" t="s">
        <v>342</v>
      </c>
      <c r="D236" s="21" t="s">
        <v>341</v>
      </c>
      <c r="E236" s="20">
        <v>69.3</v>
      </c>
      <c r="F236" s="20">
        <v>69.3</v>
      </c>
      <c r="G236" s="22">
        <v>0.63</v>
      </c>
      <c r="H236" s="23">
        <v>5.0000000000000003E-10</v>
      </c>
      <c r="I236" s="20">
        <v>30.69</v>
      </c>
      <c r="J236" s="20"/>
    </row>
    <row r="237" spans="1:10" x14ac:dyDescent="0.2">
      <c r="A237" s="20" t="str">
        <f>HYPERLINK("https://www.ncbi.nlm.nih.gov/protein/XP_018406870.1?report=genbank&amp;log$=prottop&amp;blast_rank=805&amp;RID=DNNRD06A013","XP_018406870.1")</f>
        <v>XP_018406870.1</v>
      </c>
      <c r="B237" s="45">
        <v>320</v>
      </c>
      <c r="C237" s="20" t="s">
        <v>343</v>
      </c>
      <c r="D237" s="21" t="s">
        <v>344</v>
      </c>
      <c r="E237" s="20">
        <v>58.9</v>
      </c>
      <c r="F237" s="20">
        <v>58.9</v>
      </c>
      <c r="G237" s="22">
        <v>0.46</v>
      </c>
      <c r="H237" s="23">
        <v>5.0000000000000004E-6</v>
      </c>
      <c r="I237" s="20">
        <v>30.67</v>
      </c>
      <c r="J237" s="20"/>
    </row>
    <row r="238" spans="1:10" x14ac:dyDescent="0.2">
      <c r="A238" s="20" t="str">
        <f>HYPERLINK("https://www.ncbi.nlm.nih.gov/protein/XP_032524049.1?report=genbank&amp;log$=prottop&amp;blast_rank=529&amp;RID=DNNRD06A013","XP_032524049.1")</f>
        <v>XP_032524049.1</v>
      </c>
      <c r="B238" s="45">
        <v>264</v>
      </c>
      <c r="C238" s="20" t="s">
        <v>345</v>
      </c>
      <c r="D238" s="21" t="s">
        <v>346</v>
      </c>
      <c r="E238" s="20">
        <v>93.6</v>
      </c>
      <c r="F238" s="20">
        <v>93.6</v>
      </c>
      <c r="G238" s="22">
        <v>0.7</v>
      </c>
      <c r="H238" s="23">
        <v>2.0000000000000001E-18</v>
      </c>
      <c r="I238" s="20">
        <v>26.91</v>
      </c>
      <c r="J238" s="20"/>
    </row>
    <row r="239" spans="1:10" x14ac:dyDescent="0.2">
      <c r="A239" s="20" t="str">
        <f>HYPERLINK("https://www.ncbi.nlm.nih.gov/protein/XP_032524926.1?report=genbank&amp;log$=prottop&amp;blast_rank=899&amp;RID=DNNRD06A013","XP_032524926.1")</f>
        <v>XP_032524926.1</v>
      </c>
      <c r="B239" s="45">
        <v>352</v>
      </c>
      <c r="C239" s="20" t="s">
        <v>347</v>
      </c>
      <c r="D239" s="21" t="s">
        <v>346</v>
      </c>
      <c r="E239" s="20">
        <v>47.4</v>
      </c>
      <c r="F239" s="20">
        <v>47.4</v>
      </c>
      <c r="G239" s="22">
        <v>0.47</v>
      </c>
      <c r="H239" s="20">
        <v>3.5999999999999997E-2</v>
      </c>
      <c r="I239" s="20">
        <v>26.97</v>
      </c>
      <c r="J239" s="20"/>
    </row>
    <row r="240" spans="1:10" x14ac:dyDescent="0.2">
      <c r="A240" s="20" t="str">
        <f>HYPERLINK("https://www.ncbi.nlm.nih.gov/protein/XP_032782453.2?report=genbank&amp;log$=prottop&amp;blast_rank=466&amp;RID=DNNRD06A013","XP_032782453.2")</f>
        <v>XP_032782453.2</v>
      </c>
      <c r="B240" s="45">
        <v>214</v>
      </c>
      <c r="C240" s="20" t="s">
        <v>348</v>
      </c>
      <c r="D240" s="21" t="s">
        <v>349</v>
      </c>
      <c r="E240" s="20">
        <v>116</v>
      </c>
      <c r="F240" s="20">
        <v>116</v>
      </c>
      <c r="G240" s="22">
        <v>0.68</v>
      </c>
      <c r="H240" s="23">
        <v>2.0000000000000001E-27</v>
      </c>
      <c r="I240" s="20">
        <v>32.880000000000003</v>
      </c>
      <c r="J240" s="20"/>
    </row>
    <row r="241" spans="1:10" x14ac:dyDescent="0.2">
      <c r="A241" s="20" t="str">
        <f>HYPERLINK("https://www.ncbi.nlm.nih.gov/protein/XP_032780353.1?report=genbank&amp;log$=prottop&amp;blast_rank=509&amp;RID=DNNRD06A013","XP_032780353.1")</f>
        <v>XP_032780353.1</v>
      </c>
      <c r="B241" s="45">
        <v>243</v>
      </c>
      <c r="C241" s="20" t="s">
        <v>350</v>
      </c>
      <c r="D241" s="21" t="s">
        <v>349</v>
      </c>
      <c r="E241" s="20">
        <v>100</v>
      </c>
      <c r="F241" s="20">
        <v>100</v>
      </c>
      <c r="G241" s="22">
        <v>0.67</v>
      </c>
      <c r="H241" s="23">
        <v>3.9999999999999996E-21</v>
      </c>
      <c r="I241" s="20">
        <v>31.22</v>
      </c>
      <c r="J241" s="20"/>
    </row>
    <row r="242" spans="1:10" x14ac:dyDescent="0.2">
      <c r="A242" s="20" t="str">
        <f>HYPERLINK("https://www.ncbi.nlm.nih.gov/protein/XP_032780355.1?report=genbank&amp;log$=prottop&amp;blast_rank=543&amp;RID=DNNRD06A013","XP_032780355.1")</f>
        <v>XP_032780355.1</v>
      </c>
      <c r="B242" s="45">
        <v>212</v>
      </c>
      <c r="C242" s="20" t="s">
        <v>351</v>
      </c>
      <c r="D242" s="21" t="s">
        <v>349</v>
      </c>
      <c r="E242" s="20">
        <v>88.6</v>
      </c>
      <c r="F242" s="20">
        <v>88.6</v>
      </c>
      <c r="G242" s="22">
        <v>0.64</v>
      </c>
      <c r="H242" s="23">
        <v>4.9999999999999999E-17</v>
      </c>
      <c r="I242" s="20">
        <v>30.66</v>
      </c>
      <c r="J242" s="20"/>
    </row>
    <row r="243" spans="1:10" x14ac:dyDescent="0.2">
      <c r="A243" s="20" t="str">
        <f>HYPERLINK("https://www.ncbi.nlm.nih.gov/protein/XP_032782017.2?report=genbank&amp;log$=prottop&amp;blast_rank=483&amp;RID=DNNRD06A013","XP_032782017.2")</f>
        <v>XP_032782017.2</v>
      </c>
      <c r="B243" s="45">
        <v>278</v>
      </c>
      <c r="C243" s="20" t="s">
        <v>352</v>
      </c>
      <c r="D243" s="21" t="s">
        <v>349</v>
      </c>
      <c r="E243" s="20">
        <v>110</v>
      </c>
      <c r="F243" s="20">
        <v>110</v>
      </c>
      <c r="G243" s="22">
        <v>0.69</v>
      </c>
      <c r="H243" s="23">
        <v>1.9999999999999998E-24</v>
      </c>
      <c r="I243" s="20">
        <v>30.97</v>
      </c>
      <c r="J243" s="20"/>
    </row>
    <row r="244" spans="1:10" x14ac:dyDescent="0.2">
      <c r="A244" s="20" t="str">
        <f>HYPERLINK("https://www.ncbi.nlm.nih.gov/protein/XP_045028115.1?report=genbank&amp;log$=prottop&amp;blast_rank=485&amp;RID=DNNRD06A013","XP_045028115.1")</f>
        <v>XP_045028115.1</v>
      </c>
      <c r="B244" s="45">
        <v>278</v>
      </c>
      <c r="C244" s="20" t="s">
        <v>353</v>
      </c>
      <c r="D244" s="21" t="s">
        <v>349</v>
      </c>
      <c r="E244" s="20">
        <v>109</v>
      </c>
      <c r="F244" s="20">
        <v>109</v>
      </c>
      <c r="G244" s="22">
        <v>0.69</v>
      </c>
      <c r="H244" s="23">
        <v>3E-24</v>
      </c>
      <c r="I244" s="20">
        <v>30.97</v>
      </c>
      <c r="J244" s="20"/>
    </row>
    <row r="245" spans="1:10" x14ac:dyDescent="0.2">
      <c r="A245" s="20" t="str">
        <f>HYPERLINK("https://www.ncbi.nlm.nih.gov/protein/XP_046459870.1?report=genbank&amp;log$=prottop&amp;blast_rank=577&amp;RID=DNNRD06A013","XP_046459870.1")</f>
        <v>XP_046459870.1</v>
      </c>
      <c r="B245" s="45">
        <v>292</v>
      </c>
      <c r="C245" s="20" t="s">
        <v>354</v>
      </c>
      <c r="D245" s="21" t="s">
        <v>355</v>
      </c>
      <c r="E245" s="20">
        <v>84</v>
      </c>
      <c r="F245" s="20">
        <v>84</v>
      </c>
      <c r="G245" s="22">
        <v>0.71</v>
      </c>
      <c r="H245" s="23">
        <v>1E-14</v>
      </c>
      <c r="I245" s="20">
        <v>30.09</v>
      </c>
      <c r="J245" s="20"/>
    </row>
    <row r="246" spans="1:10" x14ac:dyDescent="0.2">
      <c r="A246" s="20" t="str">
        <f>HYPERLINK("https://www.ncbi.nlm.nih.gov/protein/XP_046459873.1?report=genbank&amp;log$=prottop&amp;blast_rank=449&amp;RID=DNNRD06A013","XP_046459873.1")</f>
        <v>XP_046459873.1</v>
      </c>
      <c r="B246" s="45">
        <v>219</v>
      </c>
      <c r="C246" s="20" t="s">
        <v>356</v>
      </c>
      <c r="D246" s="21" t="s">
        <v>355</v>
      </c>
      <c r="E246" s="20">
        <v>124</v>
      </c>
      <c r="F246" s="20">
        <v>124</v>
      </c>
      <c r="G246" s="22">
        <v>0.71</v>
      </c>
      <c r="H246" s="23">
        <v>2.0000000000000002E-30</v>
      </c>
      <c r="I246" s="20">
        <v>36.159999999999997</v>
      </c>
      <c r="J246" s="20"/>
    </row>
    <row r="247" spans="1:10" x14ac:dyDescent="0.2">
      <c r="A247" s="20" t="str">
        <f>HYPERLINK("https://www.ncbi.nlm.nih.gov/protein/XP_046437831.1?report=genbank&amp;log$=prottop&amp;blast_rank=474&amp;RID=DNNRD06A013","XP_046437831.1")</f>
        <v>XP_046437831.1</v>
      </c>
      <c r="B247" s="45">
        <v>229</v>
      </c>
      <c r="C247" s="20" t="s">
        <v>356</v>
      </c>
      <c r="D247" s="21" t="s">
        <v>355</v>
      </c>
      <c r="E247" s="20">
        <v>112</v>
      </c>
      <c r="F247" s="20">
        <v>112</v>
      </c>
      <c r="G247" s="22">
        <v>0.72</v>
      </c>
      <c r="H247" s="23">
        <v>2.0000000000000001E-25</v>
      </c>
      <c r="I247" s="20">
        <v>33.33</v>
      </c>
      <c r="J247" s="20"/>
    </row>
    <row r="248" spans="1:10" x14ac:dyDescent="0.2">
      <c r="A248" s="20" t="str">
        <f>HYPERLINK("https://www.ncbi.nlm.nih.gov/protein/XP_046458144.1?report=genbank&amp;log$=prottop&amp;blast_rank=498&amp;RID=DNNRD06A013","XP_046458144.1")</f>
        <v>XP_046458144.1</v>
      </c>
      <c r="B248" s="45">
        <v>274</v>
      </c>
      <c r="C248" s="20" t="s">
        <v>356</v>
      </c>
      <c r="D248" s="21" t="s">
        <v>355</v>
      </c>
      <c r="E248" s="20">
        <v>104</v>
      </c>
      <c r="F248" s="20">
        <v>104</v>
      </c>
      <c r="G248" s="22">
        <v>0.71</v>
      </c>
      <c r="H248" s="23">
        <v>2.9999999999999999E-22</v>
      </c>
      <c r="I248" s="20">
        <v>30.18</v>
      </c>
      <c r="J248" s="20"/>
    </row>
    <row r="249" spans="1:10" x14ac:dyDescent="0.2">
      <c r="A249" s="20" t="str">
        <f>HYPERLINK("https://www.ncbi.nlm.nih.gov/protein/XP_046647706.1?report=genbank&amp;log$=prottop&amp;blast_rank=639&amp;RID=DNNRD06A013","XP_046647706.1")</f>
        <v>XP_046647706.1</v>
      </c>
      <c r="B249" s="45">
        <v>158</v>
      </c>
      <c r="C249" s="20" t="s">
        <v>357</v>
      </c>
      <c r="D249" s="21" t="s">
        <v>358</v>
      </c>
      <c r="E249" s="20">
        <v>74.7</v>
      </c>
      <c r="F249" s="20">
        <v>74.7</v>
      </c>
      <c r="G249" s="22">
        <v>0.51</v>
      </c>
      <c r="H249" s="23">
        <v>2E-12</v>
      </c>
      <c r="I249" s="20">
        <v>33.950000000000003</v>
      </c>
      <c r="J249" s="20"/>
    </row>
    <row r="250" spans="1:10" x14ac:dyDescent="0.2">
      <c r="A250" s="20" t="str">
        <f>HYPERLINK("https://www.ncbi.nlm.nih.gov/protein/XP_046647197.1?report=genbank&amp;log$=prottop&amp;blast_rank=457&amp;RID=DNNRD06A013","XP_046647197.1")</f>
        <v>XP_046647197.1</v>
      </c>
      <c r="B250" s="45">
        <v>220</v>
      </c>
      <c r="C250" s="20" t="s">
        <v>357</v>
      </c>
      <c r="D250" s="21" t="s">
        <v>358</v>
      </c>
      <c r="E250" s="20">
        <v>122</v>
      </c>
      <c r="F250" s="20">
        <v>122</v>
      </c>
      <c r="G250" s="22">
        <v>0.71</v>
      </c>
      <c r="H250" s="23">
        <v>9.9999999999999994E-30</v>
      </c>
      <c r="I250" s="20">
        <v>36</v>
      </c>
      <c r="J250" s="20"/>
    </row>
    <row r="251" spans="1:10" x14ac:dyDescent="0.2">
      <c r="A251" s="20" t="str">
        <f>HYPERLINK("https://www.ncbi.nlm.nih.gov/protein/XP_046645443.1?report=genbank&amp;log$=prottop&amp;blast_rank=496&amp;RID=DNNRD06A013","XP_046645443.1")</f>
        <v>XP_046645443.1</v>
      </c>
      <c r="B251" s="45">
        <v>274</v>
      </c>
      <c r="C251" s="20" t="s">
        <v>357</v>
      </c>
      <c r="D251" s="21" t="s">
        <v>358</v>
      </c>
      <c r="E251" s="20">
        <v>104</v>
      </c>
      <c r="F251" s="20">
        <v>104</v>
      </c>
      <c r="G251" s="22">
        <v>0.71</v>
      </c>
      <c r="H251" s="23">
        <v>2.0000000000000001E-22</v>
      </c>
      <c r="I251" s="20">
        <v>30.18</v>
      </c>
      <c r="J251" s="20"/>
    </row>
    <row r="252" spans="1:10" x14ac:dyDescent="0.2">
      <c r="A252" s="20" t="str">
        <f>HYPERLINK("https://www.ncbi.nlm.nih.gov/protein/XP_004482634.1?report=genbank&amp;log$=prottop&amp;blast_rank=251&amp;RID=DNNRD06A013","XP_004482634.1")</f>
        <v>XP_004482634.1</v>
      </c>
      <c r="B252" s="45">
        <v>236</v>
      </c>
      <c r="C252" s="20" t="s">
        <v>359</v>
      </c>
      <c r="D252" s="21" t="s">
        <v>360</v>
      </c>
      <c r="E252" s="20">
        <v>154</v>
      </c>
      <c r="F252" s="20">
        <v>154</v>
      </c>
      <c r="G252" s="22">
        <v>0.71</v>
      </c>
      <c r="H252" s="23">
        <v>9.0000000000000002E-42</v>
      </c>
      <c r="I252" s="20">
        <v>46.43</v>
      </c>
      <c r="J252" s="20"/>
    </row>
    <row r="253" spans="1:10" x14ac:dyDescent="0.2">
      <c r="A253" s="20" t="str">
        <f>HYPERLINK("https://www.ncbi.nlm.nih.gov/protein/XP_004452010.1?report=genbank&amp;log$=prottop&amp;blast_rank=119&amp;RID=DNNRD06A013","XP_004452010.1")</f>
        <v>XP_004452010.1</v>
      </c>
      <c r="B253" s="45">
        <v>314</v>
      </c>
      <c r="C253" s="20" t="s">
        <v>361</v>
      </c>
      <c r="D253" s="21" t="s">
        <v>360</v>
      </c>
      <c r="E253" s="20">
        <v>376</v>
      </c>
      <c r="F253" s="20">
        <v>376</v>
      </c>
      <c r="G253" s="22">
        <v>1</v>
      </c>
      <c r="H253" s="23">
        <v>8.9999999999999998E-128</v>
      </c>
      <c r="I253" s="20">
        <v>82.8</v>
      </c>
      <c r="J253" s="20"/>
    </row>
    <row r="254" spans="1:10" x14ac:dyDescent="0.2">
      <c r="A254" s="20" t="str">
        <f>HYPERLINK("https://www.ncbi.nlm.nih.gov/protein/XP_030616857.1?report=genbank&amp;log$=prottop&amp;blast_rank=468&amp;RID=DNNRD06A013","XP_030616857.1")</f>
        <v>XP_030616857.1</v>
      </c>
      <c r="B254" s="45">
        <v>218</v>
      </c>
      <c r="C254" s="20" t="s">
        <v>362</v>
      </c>
      <c r="D254" s="21" t="s">
        <v>363</v>
      </c>
      <c r="E254" s="20">
        <v>113</v>
      </c>
      <c r="F254" s="20">
        <v>113</v>
      </c>
      <c r="G254" s="22">
        <v>0.7</v>
      </c>
      <c r="H254" s="23">
        <v>3.0000000000000001E-26</v>
      </c>
      <c r="I254" s="20">
        <v>39.380000000000003</v>
      </c>
      <c r="J254" s="20"/>
    </row>
    <row r="255" spans="1:10" x14ac:dyDescent="0.2">
      <c r="A255" s="20" t="str">
        <f>HYPERLINK("https://www.ncbi.nlm.nih.gov/protein/XP_022428974.1?report=genbank&amp;log$=prottop&amp;blast_rank=38&amp;RID=DNNRD06A013","XP_022428974.1")</f>
        <v>XP_022428974.1</v>
      </c>
      <c r="B255" s="45">
        <v>314</v>
      </c>
      <c r="C255" s="20" t="s">
        <v>364</v>
      </c>
      <c r="D255" s="21" t="s">
        <v>363</v>
      </c>
      <c r="E255" s="20">
        <v>409</v>
      </c>
      <c r="F255" s="20">
        <v>409</v>
      </c>
      <c r="G255" s="22">
        <v>1</v>
      </c>
      <c r="H255" s="23">
        <v>9.9999999999999998E-141</v>
      </c>
      <c r="I255" s="20">
        <v>83.12</v>
      </c>
      <c r="J255" s="20"/>
    </row>
    <row r="256" spans="1:10" x14ac:dyDescent="0.2">
      <c r="A256" s="20" t="str">
        <f>HYPERLINK("https://www.ncbi.nlm.nih.gov/protein/XP_019761898.1?report=genbank&amp;log$=prottop&amp;blast_rank=561&amp;RID=DNNRD06A013","XP_019761898.1")</f>
        <v>XP_019761898.1</v>
      </c>
      <c r="B256" s="45">
        <v>326</v>
      </c>
      <c r="C256" s="20" t="s">
        <v>365</v>
      </c>
      <c r="D256" s="21" t="s">
        <v>366</v>
      </c>
      <c r="E256" s="20">
        <v>86.7</v>
      </c>
      <c r="F256" s="20">
        <v>86.7</v>
      </c>
      <c r="G256" s="22">
        <v>0.49</v>
      </c>
      <c r="H256" s="23">
        <v>2.0000000000000002E-15</v>
      </c>
      <c r="I256" s="20">
        <v>37.74</v>
      </c>
      <c r="J256" s="20"/>
    </row>
    <row r="257" spans="1:10" x14ac:dyDescent="0.2">
      <c r="A257" s="20" t="str">
        <f>HYPERLINK("https://www.ncbi.nlm.nih.gov/protein/XP_037560156.1?report=genbank&amp;log$=prottop&amp;blast_rank=714&amp;RID=DNNRD06A013","XP_037560156.1")</f>
        <v>XP_037560156.1</v>
      </c>
      <c r="B257" s="45">
        <v>179</v>
      </c>
      <c r="C257" s="20" t="s">
        <v>367</v>
      </c>
      <c r="D257" s="21" t="s">
        <v>368</v>
      </c>
      <c r="E257" s="20">
        <v>67.8</v>
      </c>
      <c r="F257" s="20">
        <v>67.8</v>
      </c>
      <c r="G257" s="22">
        <v>0.51</v>
      </c>
      <c r="H257" s="23">
        <v>1.0000000000000001E-9</v>
      </c>
      <c r="I257" s="20">
        <v>34.909999999999997</v>
      </c>
      <c r="J257" s="20"/>
    </row>
    <row r="258" spans="1:10" x14ac:dyDescent="0.2">
      <c r="A258" s="20" t="str">
        <f>HYPERLINK("https://www.ncbi.nlm.nih.gov/protein/XP_037561064.1?report=genbank&amp;log$=prottop&amp;blast_rank=554&amp;RID=DNNRD06A013","XP_037561064.1")</f>
        <v>XP_037561064.1</v>
      </c>
      <c r="B258" s="45">
        <v>337</v>
      </c>
      <c r="C258" s="20" t="s">
        <v>369</v>
      </c>
      <c r="D258" s="21" t="s">
        <v>368</v>
      </c>
      <c r="E258" s="20">
        <v>88.2</v>
      </c>
      <c r="F258" s="20">
        <v>88.2</v>
      </c>
      <c r="G258" s="22">
        <v>0.68</v>
      </c>
      <c r="H258" s="23">
        <v>5.0000000000000004E-16</v>
      </c>
      <c r="I258" s="20">
        <v>29.36</v>
      </c>
      <c r="J258" s="20"/>
    </row>
    <row r="259" spans="1:10" x14ac:dyDescent="0.2">
      <c r="A259" s="20" t="str">
        <f>HYPERLINK("https://www.ncbi.nlm.nih.gov/protein/XP_037560144.1?report=genbank&amp;log$=prottop&amp;blast_rank=494&amp;RID=DNNRD06A013","XP_037560144.1")</f>
        <v>XP_037560144.1</v>
      </c>
      <c r="B259" s="45">
        <v>311</v>
      </c>
      <c r="C259" s="20" t="s">
        <v>370</v>
      </c>
      <c r="D259" s="21" t="s">
        <v>368</v>
      </c>
      <c r="E259" s="20">
        <v>105</v>
      </c>
      <c r="F259" s="20">
        <v>105</v>
      </c>
      <c r="G259" s="22">
        <v>0.71</v>
      </c>
      <c r="H259" s="23">
        <v>1E-22</v>
      </c>
      <c r="I259" s="20">
        <v>30.54</v>
      </c>
      <c r="J259" s="20"/>
    </row>
    <row r="260" spans="1:10" x14ac:dyDescent="0.2">
      <c r="A260" s="20" t="str">
        <f>HYPERLINK("https://www.ncbi.nlm.nih.gov/protein/XP_037560145.1?report=genbank&amp;log$=prottop&amp;blast_rank=492&amp;RID=DNNRD06A013","XP_037560145.1")</f>
        <v>XP_037560145.1</v>
      </c>
      <c r="B260" s="45">
        <v>310</v>
      </c>
      <c r="C260" s="20" t="s">
        <v>371</v>
      </c>
      <c r="D260" s="21" t="s">
        <v>368</v>
      </c>
      <c r="E260" s="20">
        <v>105</v>
      </c>
      <c r="F260" s="20">
        <v>105</v>
      </c>
      <c r="G260" s="22">
        <v>0.71</v>
      </c>
      <c r="H260" s="23">
        <v>1E-22</v>
      </c>
      <c r="I260" s="20">
        <v>30.54</v>
      </c>
      <c r="J260" s="20"/>
    </row>
    <row r="261" spans="1:10" x14ac:dyDescent="0.2">
      <c r="A261" s="20" t="str">
        <f>HYPERLINK("https://www.ncbi.nlm.nih.gov/protein/XP_037560148.1?report=genbank&amp;log$=prottop&amp;blast_rank=774&amp;RID=DNNRD06A013","XP_037560148.1")</f>
        <v>XP_037560148.1</v>
      </c>
      <c r="B261" s="45">
        <v>338</v>
      </c>
      <c r="C261" s="20" t="s">
        <v>372</v>
      </c>
      <c r="D261" s="21" t="s">
        <v>368</v>
      </c>
      <c r="E261" s="20">
        <v>61.6</v>
      </c>
      <c r="F261" s="20">
        <v>61.6</v>
      </c>
      <c r="G261" s="22">
        <v>0.44</v>
      </c>
      <c r="H261" s="23">
        <v>6.9999999999999997E-7</v>
      </c>
      <c r="I261" s="20">
        <v>35.71</v>
      </c>
      <c r="J261" s="20"/>
    </row>
    <row r="262" spans="1:10" x14ac:dyDescent="0.2">
      <c r="A262" s="20" t="str">
        <f>HYPERLINK("https://www.ncbi.nlm.nih.gov/protein/XP_038237292.1?report=genbank&amp;log$=prottop&amp;blast_rank=329&amp;RID=DNNRD06A013","XP_038237292.1")</f>
        <v>XP_038237292.1</v>
      </c>
      <c r="B262" s="45">
        <v>225</v>
      </c>
      <c r="C262" s="20" t="s">
        <v>373</v>
      </c>
      <c r="D262" s="21" t="s">
        <v>374</v>
      </c>
      <c r="E262" s="20">
        <v>150</v>
      </c>
      <c r="F262" s="20">
        <v>150</v>
      </c>
      <c r="G262" s="22">
        <v>0.72</v>
      </c>
      <c r="H262" s="23">
        <v>3.0000000000000002E-40</v>
      </c>
      <c r="I262" s="20">
        <v>42.11</v>
      </c>
      <c r="J262" s="20"/>
    </row>
    <row r="263" spans="1:10" x14ac:dyDescent="0.2">
      <c r="A263" s="20" t="str">
        <f>HYPERLINK("https://www.ncbi.nlm.nih.gov/protein/XP_024406838.1?report=genbank&amp;log$=prottop&amp;blast_rank=384&amp;RID=DNNRD06A013","XP_024406838.1")</f>
        <v>XP_024406838.1</v>
      </c>
      <c r="B263" s="45">
        <v>236</v>
      </c>
      <c r="C263" s="20" t="s">
        <v>375</v>
      </c>
      <c r="D263" s="21" t="s">
        <v>376</v>
      </c>
      <c r="E263" s="20">
        <v>147</v>
      </c>
      <c r="F263" s="20">
        <v>147</v>
      </c>
      <c r="G263" s="22">
        <v>0.7</v>
      </c>
      <c r="H263" s="23">
        <v>6.0000000000000006E-39</v>
      </c>
      <c r="I263" s="20">
        <v>44.84</v>
      </c>
      <c r="J263" s="20"/>
    </row>
    <row r="264" spans="1:10" x14ac:dyDescent="0.2">
      <c r="A264" s="20" t="str">
        <f>HYPERLINK("https://www.ncbi.nlm.nih.gov/protein/XP_024421554.1?report=genbank&amp;log$=prottop&amp;blast_rank=102&amp;RID=DNNRD06A013","XP_024421554.1")</f>
        <v>XP_024421554.1</v>
      </c>
      <c r="B264" s="45">
        <v>314</v>
      </c>
      <c r="C264" s="20" t="s">
        <v>377</v>
      </c>
      <c r="D264" s="21" t="s">
        <v>376</v>
      </c>
      <c r="E264" s="20">
        <v>388</v>
      </c>
      <c r="F264" s="20">
        <v>388</v>
      </c>
      <c r="G264" s="22">
        <v>1</v>
      </c>
      <c r="H264" s="23">
        <v>3E-132</v>
      </c>
      <c r="I264" s="20">
        <v>79.62</v>
      </c>
      <c r="J264" s="20"/>
    </row>
    <row r="265" spans="1:10" x14ac:dyDescent="0.2">
      <c r="A265" s="20" t="str">
        <f>HYPERLINK("https://www.ncbi.nlm.nih.gov/protein/XP_028148058.1?report=genbank&amp;log$=prottop&amp;blast_rank=538&amp;RID=DNNRD06A013","XP_028148058.1")</f>
        <v>XP_028148058.1</v>
      </c>
      <c r="B265" s="45">
        <v>372</v>
      </c>
      <c r="C265" s="20" t="s">
        <v>378</v>
      </c>
      <c r="D265" s="21" t="s">
        <v>379</v>
      </c>
      <c r="E265" s="20">
        <v>93.2</v>
      </c>
      <c r="F265" s="20">
        <v>93.2</v>
      </c>
      <c r="G265" s="22">
        <v>0.53</v>
      </c>
      <c r="H265" s="23">
        <v>1.0000000000000001E-17</v>
      </c>
      <c r="I265" s="20">
        <v>34.299999999999997</v>
      </c>
      <c r="J265" s="20"/>
    </row>
    <row r="266" spans="1:10" x14ac:dyDescent="0.2">
      <c r="A266" s="20" t="str">
        <f>HYPERLINK("https://www.ncbi.nlm.nih.gov/protein/XP_008468313.1?report=genbank&amp;log$=prottop&amp;blast_rank=757&amp;RID=DNNRD06A013","XP_008468313.1")</f>
        <v>XP_008468313.1</v>
      </c>
      <c r="B266" s="45">
        <v>309</v>
      </c>
      <c r="C266" s="20" t="s">
        <v>380</v>
      </c>
      <c r="D266" s="21" t="s">
        <v>381</v>
      </c>
      <c r="E266" s="20">
        <v>63.9</v>
      </c>
      <c r="F266" s="20">
        <v>63.9</v>
      </c>
      <c r="G266" s="22">
        <v>0.48</v>
      </c>
      <c r="H266" s="23">
        <v>9.9999999999999995E-8</v>
      </c>
      <c r="I266" s="20">
        <v>33.770000000000003</v>
      </c>
      <c r="J266" s="20"/>
    </row>
    <row r="267" spans="1:10" x14ac:dyDescent="0.2">
      <c r="A267" s="20" t="str">
        <f>HYPERLINK("https://www.ncbi.nlm.nih.gov/protein/XP_012890780.1?report=genbank&amp;log$=prottop&amp;blast_rank=234&amp;RID=DNNRD06A013","XP_012890780.1")</f>
        <v>XP_012890780.1</v>
      </c>
      <c r="B267" s="45">
        <v>236</v>
      </c>
      <c r="C267" s="20" t="s">
        <v>382</v>
      </c>
      <c r="D267" s="21" t="s">
        <v>383</v>
      </c>
      <c r="E267" s="20">
        <v>155</v>
      </c>
      <c r="F267" s="20">
        <v>155</v>
      </c>
      <c r="G267" s="22">
        <v>0.7</v>
      </c>
      <c r="H267" s="23">
        <v>3.0000000000000003E-42</v>
      </c>
      <c r="I267" s="20">
        <v>47.79</v>
      </c>
      <c r="J267" s="20"/>
    </row>
    <row r="268" spans="1:10" x14ac:dyDescent="0.2">
      <c r="A268" s="20" t="str">
        <f>HYPERLINK("https://www.ncbi.nlm.nih.gov/protein/XP_012885722.1?report=genbank&amp;log$=prottop&amp;blast_rank=160&amp;RID=DNNRD06A013","XP_012885722.1")</f>
        <v>XP_012885722.1</v>
      </c>
      <c r="B268" s="45">
        <v>303</v>
      </c>
      <c r="C268" s="20" t="s">
        <v>384</v>
      </c>
      <c r="D268" s="21" t="s">
        <v>383</v>
      </c>
      <c r="E268" s="20">
        <v>349</v>
      </c>
      <c r="F268" s="20">
        <v>349</v>
      </c>
      <c r="G268" s="22">
        <v>1</v>
      </c>
      <c r="H268" s="23">
        <v>2.9999999999999999E-117</v>
      </c>
      <c r="I268" s="20">
        <v>73.73</v>
      </c>
      <c r="J268" s="20"/>
    </row>
    <row r="269" spans="1:10" x14ac:dyDescent="0.2">
      <c r="A269" s="20" t="str">
        <f>HYPERLINK("https://www.ncbi.nlm.nih.gov/protein/XP_042523491.1?report=genbank&amp;log$=prottop&amp;blast_rank=236&amp;RID=DNNRD06A013","XP_042523491.1")</f>
        <v>XP_042523491.1</v>
      </c>
      <c r="B269" s="45">
        <v>236</v>
      </c>
      <c r="C269" s="20" t="s">
        <v>385</v>
      </c>
      <c r="D269" s="21" t="s">
        <v>386</v>
      </c>
      <c r="E269" s="20">
        <v>155</v>
      </c>
      <c r="F269" s="20">
        <v>155</v>
      </c>
      <c r="G269" s="22">
        <v>0.7</v>
      </c>
      <c r="H269" s="23">
        <v>3.0000000000000003E-42</v>
      </c>
      <c r="I269" s="20">
        <v>47.79</v>
      </c>
      <c r="J269" s="20"/>
    </row>
    <row r="270" spans="1:10" x14ac:dyDescent="0.2">
      <c r="A270" s="20" t="str">
        <f>HYPERLINK("https://www.ncbi.nlm.nih.gov/protein/XP_042522029.1?report=genbank&amp;log$=prottop&amp;blast_rank=163&amp;RID=DNNRD06A013","XP_042522029.1")</f>
        <v>XP_042522029.1</v>
      </c>
      <c r="B270" s="45">
        <v>303</v>
      </c>
      <c r="C270" s="20" t="s">
        <v>387</v>
      </c>
      <c r="D270" s="21" t="s">
        <v>386</v>
      </c>
      <c r="E270" s="20">
        <v>347</v>
      </c>
      <c r="F270" s="20">
        <v>347</v>
      </c>
      <c r="G270" s="22">
        <v>1</v>
      </c>
      <c r="H270" s="23">
        <v>2E-116</v>
      </c>
      <c r="I270" s="20">
        <v>73.42</v>
      </c>
      <c r="J270" s="20"/>
    </row>
    <row r="271" spans="1:10" x14ac:dyDescent="0.2">
      <c r="A271" s="20" t="str">
        <f>HYPERLINK("https://www.ncbi.nlm.nih.gov/protein/XP_046734844.1?report=genbank&amp;log$=prottop&amp;blast_rank=666&amp;RID=DNNRD06A013","XP_046734844.1")</f>
        <v>XP_046734844.1</v>
      </c>
      <c r="B271" s="45">
        <v>312</v>
      </c>
      <c r="C271" s="20" t="s">
        <v>388</v>
      </c>
      <c r="D271" s="21" t="s">
        <v>389</v>
      </c>
      <c r="E271" s="20">
        <v>75.5</v>
      </c>
      <c r="F271" s="20">
        <v>75.5</v>
      </c>
      <c r="G271" s="22">
        <v>0.5</v>
      </c>
      <c r="H271" s="23">
        <v>9.9999999999999994E-12</v>
      </c>
      <c r="I271" s="20">
        <v>33.950000000000003</v>
      </c>
      <c r="J271" s="20"/>
    </row>
    <row r="272" spans="1:10" x14ac:dyDescent="0.2">
      <c r="A272" s="20" t="str">
        <f>HYPERLINK("https://www.ncbi.nlm.nih.gov/protein/XP_043829567.1?report=genbank&amp;log$=prottop&amp;blast_rank=237&amp;RID=DNNRD06A013","XP_043829567.1")</f>
        <v>XP_043829567.1</v>
      </c>
      <c r="B272" s="45">
        <v>241</v>
      </c>
      <c r="C272" s="20" t="s">
        <v>390</v>
      </c>
      <c r="D272" s="21" t="s">
        <v>391</v>
      </c>
      <c r="E272" s="20">
        <v>155</v>
      </c>
      <c r="F272" s="20">
        <v>155</v>
      </c>
      <c r="G272" s="22">
        <v>0.71</v>
      </c>
      <c r="H272" s="23">
        <v>3.0000000000000003E-42</v>
      </c>
      <c r="I272" s="20">
        <v>42.36</v>
      </c>
      <c r="J272" s="20"/>
    </row>
    <row r="273" spans="1:10" x14ac:dyDescent="0.2">
      <c r="A273" s="20" t="str">
        <f>HYPERLINK("https://www.ncbi.nlm.nih.gov/protein/XP_043833144.1?report=genbank&amp;log$=prottop&amp;blast_rank=182&amp;RID=DNNRD06A013","XP_043833144.1")</f>
        <v>XP_043833144.1</v>
      </c>
      <c r="B273" s="45">
        <v>325</v>
      </c>
      <c r="C273" s="20" t="s">
        <v>392</v>
      </c>
      <c r="D273" s="21" t="s">
        <v>391</v>
      </c>
      <c r="E273" s="20">
        <v>286</v>
      </c>
      <c r="F273" s="20">
        <v>286</v>
      </c>
      <c r="G273" s="22">
        <v>0.75</v>
      </c>
      <c r="H273" s="23">
        <v>6.9999999999999997E-92</v>
      </c>
      <c r="I273" s="20">
        <v>66.25</v>
      </c>
      <c r="J273" s="20"/>
    </row>
    <row r="274" spans="1:10" x14ac:dyDescent="0.2">
      <c r="A274" s="20" t="str">
        <f>HYPERLINK("https://www.ncbi.nlm.nih.gov/protein/XP_001961489.1?report=genbank&amp;log$=prottop&amp;blast_rank=798&amp;RID=DNNRD06A013","XP_001961489.1")</f>
        <v>XP_001961489.1</v>
      </c>
      <c r="B274" s="45">
        <v>362</v>
      </c>
      <c r="C274" s="20" t="s">
        <v>393</v>
      </c>
      <c r="D274" s="21" t="s">
        <v>394</v>
      </c>
      <c r="E274" s="20">
        <v>59.7</v>
      </c>
      <c r="F274" s="20">
        <v>59.7</v>
      </c>
      <c r="G274" s="22">
        <v>0.51</v>
      </c>
      <c r="H274" s="23">
        <v>3.0000000000000001E-6</v>
      </c>
      <c r="I274" s="20">
        <v>32.369999999999997</v>
      </c>
      <c r="J274" s="20"/>
    </row>
    <row r="275" spans="1:10" x14ac:dyDescent="0.2">
      <c r="A275" s="20" t="str">
        <f>HYPERLINK("https://www.ncbi.nlm.nih.gov/protein/XP_017858569.1?report=genbank&amp;log$=prottop&amp;blast_rank=790&amp;RID=DNNRD06A013","XP_017858569.1")</f>
        <v>XP_017858569.1</v>
      </c>
      <c r="B275" s="45">
        <v>349</v>
      </c>
      <c r="C275" s="20" t="s">
        <v>395</v>
      </c>
      <c r="D275" s="21" t="s">
        <v>396</v>
      </c>
      <c r="E275" s="20">
        <v>60.1</v>
      </c>
      <c r="F275" s="20">
        <v>60.1</v>
      </c>
      <c r="G275" s="22">
        <v>0.5</v>
      </c>
      <c r="H275" s="23">
        <v>1.9999999999999999E-6</v>
      </c>
      <c r="I275" s="20">
        <v>32.93</v>
      </c>
      <c r="J275" s="20"/>
    </row>
    <row r="276" spans="1:10" x14ac:dyDescent="0.2">
      <c r="A276" s="20" t="str">
        <f>HYPERLINK("https://www.ncbi.nlm.nih.gov/protein/XP_016954810.1?report=genbank&amp;log$=prottop&amp;blast_rank=846&amp;RID=DNNRD06A013","XP_016954810.1")</f>
        <v>XP_016954810.1</v>
      </c>
      <c r="B276" s="45">
        <v>390</v>
      </c>
      <c r="C276" s="20" t="s">
        <v>397</v>
      </c>
      <c r="D276" s="21" t="s">
        <v>398</v>
      </c>
      <c r="E276" s="20">
        <v>57</v>
      </c>
      <c r="F276" s="20">
        <v>57</v>
      </c>
      <c r="G276" s="22">
        <v>0.48</v>
      </c>
      <c r="H276" s="23">
        <v>3.0000000000000001E-5</v>
      </c>
      <c r="I276" s="20">
        <v>32.1</v>
      </c>
      <c r="J276" s="20"/>
    </row>
    <row r="277" spans="1:10" x14ac:dyDescent="0.2">
      <c r="A277" s="20" t="str">
        <f>HYPERLINK("https://www.ncbi.nlm.nih.gov/protein/XP_017097244.2?report=genbank&amp;log$=prottop&amp;blast_rank=809&amp;RID=DNNRD06A013","XP_017097244.2")</f>
        <v>XP_017097244.2</v>
      </c>
      <c r="B277" s="45">
        <v>361</v>
      </c>
      <c r="C277" s="20" t="s">
        <v>399</v>
      </c>
      <c r="D277" s="21" t="s">
        <v>400</v>
      </c>
      <c r="E277" s="20">
        <v>59.3</v>
      </c>
      <c r="F277" s="20">
        <v>59.3</v>
      </c>
      <c r="G277" s="22">
        <v>0.47</v>
      </c>
      <c r="H277" s="23">
        <v>5.0000000000000004E-6</v>
      </c>
      <c r="I277" s="20">
        <v>33.75</v>
      </c>
      <c r="J277" s="20"/>
    </row>
    <row r="278" spans="1:10" x14ac:dyDescent="0.2">
      <c r="A278" s="20" t="str">
        <f>HYPERLINK("https://www.ncbi.nlm.nih.gov/protein/XP_017117162.1?report=genbank&amp;log$=prottop&amp;blast_rank=808&amp;RID=DNNRD06A013","XP_017117162.1")</f>
        <v>XP_017117162.1</v>
      </c>
      <c r="B278" s="45">
        <v>351</v>
      </c>
      <c r="C278" s="20" t="s">
        <v>401</v>
      </c>
      <c r="D278" s="21" t="s">
        <v>402</v>
      </c>
      <c r="E278" s="20">
        <v>59.3</v>
      </c>
      <c r="F278" s="20">
        <v>59.3</v>
      </c>
      <c r="G278" s="22">
        <v>0.51</v>
      </c>
      <c r="H278" s="23">
        <v>5.0000000000000004E-6</v>
      </c>
      <c r="I278" s="20">
        <v>30.36</v>
      </c>
      <c r="J278" s="20"/>
    </row>
    <row r="279" spans="1:10" x14ac:dyDescent="0.2">
      <c r="A279" s="20" t="str">
        <f>HYPERLINK("https://www.ncbi.nlm.nih.gov/protein/XP_001968498.1?report=genbank&amp;log$=prottop&amp;blast_rank=749&amp;RID=DNNRD06A013","XP_001968498.1")</f>
        <v>XP_001968498.1</v>
      </c>
      <c r="B279" s="45">
        <v>348</v>
      </c>
      <c r="C279" s="20" t="s">
        <v>403</v>
      </c>
      <c r="D279" s="21" t="s">
        <v>404</v>
      </c>
      <c r="E279" s="20">
        <v>66.2</v>
      </c>
      <c r="F279" s="20">
        <v>66.2</v>
      </c>
      <c r="G279" s="22">
        <v>0.51</v>
      </c>
      <c r="H279" s="23">
        <v>2E-8</v>
      </c>
      <c r="I279" s="20">
        <v>34.15</v>
      </c>
      <c r="J279" s="20"/>
    </row>
    <row r="280" spans="1:10" x14ac:dyDescent="0.2">
      <c r="A280" s="20" t="str">
        <f>HYPERLINK("https://www.ncbi.nlm.nih.gov/protein/XP_017076055.1?report=genbank&amp;log$=prottop&amp;blast_rank=827&amp;RID=DNNRD06A013","XP_017076055.1")</f>
        <v>XP_017076055.1</v>
      </c>
      <c r="B280" s="45">
        <v>346</v>
      </c>
      <c r="C280" s="20" t="s">
        <v>405</v>
      </c>
      <c r="D280" s="21" t="s">
        <v>406</v>
      </c>
      <c r="E280" s="20">
        <v>58.2</v>
      </c>
      <c r="F280" s="20">
        <v>58.2</v>
      </c>
      <c r="G280" s="22">
        <v>0.47</v>
      </c>
      <c r="H280" s="23">
        <v>1.0000000000000001E-5</v>
      </c>
      <c r="I280" s="20">
        <v>33.119999999999997</v>
      </c>
      <c r="J280" s="20"/>
    </row>
    <row r="281" spans="1:10" x14ac:dyDescent="0.2">
      <c r="A281" s="20" t="str">
        <f>HYPERLINK("https://www.ncbi.nlm.nih.gov/protein/XP_017076057.1?report=genbank&amp;log$=prottop&amp;blast_rank=898&amp;RID=DNNRD06A013","XP_017076057.1")</f>
        <v>XP_017076057.1</v>
      </c>
      <c r="B281" s="45">
        <v>310</v>
      </c>
      <c r="C281" s="20" t="s">
        <v>407</v>
      </c>
      <c r="D281" s="21" t="s">
        <v>406</v>
      </c>
      <c r="E281" s="20">
        <v>48.5</v>
      </c>
      <c r="F281" s="20">
        <v>48.5</v>
      </c>
      <c r="G281" s="22">
        <v>0.31</v>
      </c>
      <c r="H281" s="20">
        <v>1.2E-2</v>
      </c>
      <c r="I281" s="20">
        <v>36.729999999999997</v>
      </c>
      <c r="J281" s="20"/>
    </row>
    <row r="282" spans="1:10" x14ac:dyDescent="0.2">
      <c r="A282" s="20" t="str">
        <f>HYPERLINK("https://www.ncbi.nlm.nih.gov/protein/XP_017047537.1?report=genbank&amp;log$=prottop&amp;blast_rank=833&amp;RID=DNNRD06A013","XP_017047537.1")</f>
        <v>XP_017047537.1</v>
      </c>
      <c r="B282" s="45">
        <v>338</v>
      </c>
      <c r="C282" s="20" t="s">
        <v>408</v>
      </c>
      <c r="D282" s="21" t="s">
        <v>409</v>
      </c>
      <c r="E282" s="20">
        <v>57.8</v>
      </c>
      <c r="F282" s="20">
        <v>57.8</v>
      </c>
      <c r="G282" s="22">
        <v>0.47</v>
      </c>
      <c r="H282" s="23">
        <v>1.0000000000000001E-5</v>
      </c>
      <c r="I282" s="20">
        <v>32.47</v>
      </c>
      <c r="J282" s="20"/>
    </row>
    <row r="283" spans="1:10" x14ac:dyDescent="0.2">
      <c r="A283" s="20" t="str">
        <f>HYPERLINK("https://www.ncbi.nlm.nih.gov/protein/XP_001988295.1?report=genbank&amp;log$=prottop&amp;blast_rank=806&amp;RID=DNNRD06A013","XP_001988295.1")</f>
        <v>XP_001988295.1</v>
      </c>
      <c r="B283" s="45">
        <v>343</v>
      </c>
      <c r="C283" s="20" t="s">
        <v>410</v>
      </c>
      <c r="D283" s="21" t="s">
        <v>411</v>
      </c>
      <c r="E283" s="20">
        <v>59.3</v>
      </c>
      <c r="F283" s="20">
        <v>59.3</v>
      </c>
      <c r="G283" s="22">
        <v>0.49</v>
      </c>
      <c r="H283" s="23">
        <v>5.0000000000000004E-6</v>
      </c>
      <c r="I283" s="20">
        <v>30.41</v>
      </c>
      <c r="J283" s="20"/>
    </row>
    <row r="284" spans="1:10" x14ac:dyDescent="0.2">
      <c r="A284" s="20" t="str">
        <f>HYPERLINK("https://www.ncbi.nlm.nih.gov/protein/XP_034129447.1?report=genbank&amp;log$=prottop&amp;blast_rank=881&amp;RID=DNNRD06A013","XP_034129447.1")</f>
        <v>XP_034129447.1</v>
      </c>
      <c r="B284" s="45">
        <v>362</v>
      </c>
      <c r="C284" s="20" t="s">
        <v>412</v>
      </c>
      <c r="D284" s="21" t="s">
        <v>413</v>
      </c>
      <c r="E284" s="20">
        <v>51.6</v>
      </c>
      <c r="F284" s="20">
        <v>99.4</v>
      </c>
      <c r="G284" s="22">
        <v>0.7</v>
      </c>
      <c r="H284" s="20">
        <v>2E-3</v>
      </c>
      <c r="I284" s="20">
        <v>28.82</v>
      </c>
      <c r="J284" s="20"/>
    </row>
    <row r="285" spans="1:10" x14ac:dyDescent="0.2">
      <c r="A285" s="20" t="str">
        <f>HYPERLINK("https://www.ncbi.nlm.nih.gov/protein/XP_023177571.2?report=genbank&amp;log$=prottop&amp;blast_rank=824&amp;RID=DNNRD06A013","XP_023177571.2")</f>
        <v>XP_023177571.2</v>
      </c>
      <c r="B285" s="45">
        <v>346</v>
      </c>
      <c r="C285" s="20" t="s">
        <v>414</v>
      </c>
      <c r="D285" s="21" t="s">
        <v>415</v>
      </c>
      <c r="E285" s="20">
        <v>58.2</v>
      </c>
      <c r="F285" s="20">
        <v>58.2</v>
      </c>
      <c r="G285" s="22">
        <v>0.49</v>
      </c>
      <c r="H285" s="23">
        <v>1.0000000000000001E-5</v>
      </c>
      <c r="I285" s="20">
        <v>29.88</v>
      </c>
      <c r="J285" s="20"/>
    </row>
    <row r="286" spans="1:10" x14ac:dyDescent="0.2">
      <c r="A286" s="20" t="str">
        <f>HYPERLINK("https://www.ncbi.nlm.nih.gov/protein/XP_034472932.1?report=genbank&amp;log$=prottop&amp;blast_rank=835&amp;RID=DNNRD06A013","XP_034472932.1")</f>
        <v>XP_034472932.1</v>
      </c>
      <c r="B286" s="45">
        <v>353</v>
      </c>
      <c r="C286" s="20" t="s">
        <v>416</v>
      </c>
      <c r="D286" s="21" t="s">
        <v>417</v>
      </c>
      <c r="E286" s="20">
        <v>57.8</v>
      </c>
      <c r="F286" s="20">
        <v>57.8</v>
      </c>
      <c r="G286" s="22">
        <v>0.5</v>
      </c>
      <c r="H286" s="23">
        <v>2.0000000000000002E-5</v>
      </c>
      <c r="I286" s="20">
        <v>32.18</v>
      </c>
      <c r="J286" s="20"/>
    </row>
    <row r="287" spans="1:10" x14ac:dyDescent="0.2">
      <c r="A287" s="20" t="str">
        <f>HYPERLINK("https://www.ncbi.nlm.nih.gov/protein/XP_034473910.1?report=genbank&amp;log$=prottop&amp;blast_rank=821&amp;RID=DNNRD06A013","XP_034473910.1")</f>
        <v>XP_034473910.1</v>
      </c>
      <c r="B287" s="45">
        <v>338</v>
      </c>
      <c r="C287" s="20" t="s">
        <v>418</v>
      </c>
      <c r="D287" s="21" t="s">
        <v>417</v>
      </c>
      <c r="E287" s="20">
        <v>58.2</v>
      </c>
      <c r="F287" s="20">
        <v>58.2</v>
      </c>
      <c r="G287" s="22">
        <v>0.5</v>
      </c>
      <c r="H287" s="23">
        <v>9.0000000000000002E-6</v>
      </c>
      <c r="I287" s="20">
        <v>34.130000000000003</v>
      </c>
      <c r="J287" s="20"/>
    </row>
    <row r="288" spans="1:10" x14ac:dyDescent="0.2">
      <c r="A288" s="20" t="str">
        <f>HYPERLINK("https://www.ncbi.nlm.nih.gov/protein/XP_017023939.1?report=genbank&amp;log$=prottop&amp;blast_rank=802&amp;RID=DNNRD06A013","XP_017023939.1")</f>
        <v>XP_017023939.1</v>
      </c>
      <c r="B288" s="45">
        <v>355</v>
      </c>
      <c r="C288" s="20" t="s">
        <v>419</v>
      </c>
      <c r="D288" s="21" t="s">
        <v>420</v>
      </c>
      <c r="E288" s="20">
        <v>59.3</v>
      </c>
      <c r="F288" s="20">
        <v>59.3</v>
      </c>
      <c r="G288" s="22">
        <v>0.47</v>
      </c>
      <c r="H288" s="23">
        <v>3.9999999999999998E-6</v>
      </c>
      <c r="I288" s="20">
        <v>34.619999999999997</v>
      </c>
      <c r="J288" s="20"/>
    </row>
    <row r="289" spans="1:10" x14ac:dyDescent="0.2">
      <c r="A289" s="20" t="str">
        <f>HYPERLINK("https://www.ncbi.nlm.nih.gov/protein/XP_033153189.1?report=genbank&amp;log$=prottop&amp;blast_rank=800&amp;RID=DNNRD06A013","XP_033153189.1")</f>
        <v>XP_033153189.1</v>
      </c>
      <c r="B289" s="45">
        <v>353</v>
      </c>
      <c r="C289" s="20" t="s">
        <v>421</v>
      </c>
      <c r="D289" s="21" t="s">
        <v>422</v>
      </c>
      <c r="E289" s="20">
        <v>59.3</v>
      </c>
      <c r="F289" s="20">
        <v>59.3</v>
      </c>
      <c r="G289" s="22">
        <v>0.51</v>
      </c>
      <c r="H289" s="23">
        <v>3.9999999999999998E-6</v>
      </c>
      <c r="I289" s="20">
        <v>32.14</v>
      </c>
      <c r="J289" s="20"/>
    </row>
    <row r="290" spans="1:10" x14ac:dyDescent="0.2">
      <c r="A290" s="20" t="str">
        <f>HYPERLINK("https://www.ncbi.nlm.nih.gov/protein/NP_001285571.1?report=genbank&amp;log$=prottop&amp;blast_rank=864&amp;RID=DNNRD06A013","NP_001285571.1")</f>
        <v>NP_001285571.1</v>
      </c>
      <c r="B290" s="45">
        <v>351</v>
      </c>
      <c r="C290" s="20" t="s">
        <v>423</v>
      </c>
      <c r="D290" s="21" t="s">
        <v>424</v>
      </c>
      <c r="E290" s="20">
        <v>55.1</v>
      </c>
      <c r="F290" s="20">
        <v>55.1</v>
      </c>
      <c r="G290" s="22">
        <v>0.48</v>
      </c>
      <c r="H290" s="23">
        <v>1E-4</v>
      </c>
      <c r="I290" s="20">
        <v>32.28</v>
      </c>
      <c r="J290" s="20"/>
    </row>
    <row r="291" spans="1:10" x14ac:dyDescent="0.2">
      <c r="A291" s="20" t="str">
        <f>HYPERLINK("https://www.ncbi.nlm.nih.gov/protein/XP_017154543.1?report=genbank&amp;log$=prottop&amp;blast_rank=855&amp;RID=DNNRD06A013","XP_017154543.1")</f>
        <v>XP_017154543.1</v>
      </c>
      <c r="B291" s="45">
        <v>378</v>
      </c>
      <c r="C291" s="20" t="s">
        <v>425</v>
      </c>
      <c r="D291" s="21" t="s">
        <v>426</v>
      </c>
      <c r="E291" s="20">
        <v>55.8</v>
      </c>
      <c r="F291" s="20">
        <v>55.8</v>
      </c>
      <c r="G291" s="22">
        <v>0.52</v>
      </c>
      <c r="H291" s="23">
        <v>6.0000000000000002E-5</v>
      </c>
      <c r="I291" s="20">
        <v>33.33</v>
      </c>
      <c r="J291" s="20"/>
    </row>
    <row r="292" spans="1:10" x14ac:dyDescent="0.2">
      <c r="A292" s="20" t="str">
        <f>HYPERLINK("https://www.ncbi.nlm.nih.gov/protein/XP_002002848.2?report=genbank&amp;log$=prottop&amp;blast_rank=803&amp;RID=DNNRD06A013","XP_002002848.2")</f>
        <v>XP_002002848.2</v>
      </c>
      <c r="B292" s="45">
        <v>369</v>
      </c>
      <c r="C292" s="20" t="s">
        <v>427</v>
      </c>
      <c r="D292" s="21" t="s">
        <v>428</v>
      </c>
      <c r="E292" s="20">
        <v>59.3</v>
      </c>
      <c r="F292" s="20">
        <v>59.3</v>
      </c>
      <c r="G292" s="22">
        <v>0.49</v>
      </c>
      <c r="H292" s="23">
        <v>3.9999999999999998E-6</v>
      </c>
      <c r="I292" s="20">
        <v>32.32</v>
      </c>
      <c r="J292" s="20"/>
    </row>
    <row r="293" spans="1:10" x14ac:dyDescent="0.2">
      <c r="A293" s="20" t="str">
        <f>HYPERLINK("https://www.ncbi.nlm.nih.gov/protein/XP_015020885.1?report=genbank&amp;log$=prottop&amp;blast_rank=797&amp;RID=DNNRD06A013","XP_015020885.1")</f>
        <v>XP_015020885.1</v>
      </c>
      <c r="B293" s="45">
        <v>348</v>
      </c>
      <c r="C293" s="20" t="s">
        <v>429</v>
      </c>
      <c r="D293" s="21" t="s">
        <v>428</v>
      </c>
      <c r="E293" s="20">
        <v>59.7</v>
      </c>
      <c r="F293" s="20">
        <v>59.7</v>
      </c>
      <c r="G293" s="22">
        <v>0.49</v>
      </c>
      <c r="H293" s="23">
        <v>3.0000000000000001E-6</v>
      </c>
      <c r="I293" s="20">
        <v>32.32</v>
      </c>
      <c r="J293" s="20"/>
    </row>
    <row r="294" spans="1:10" x14ac:dyDescent="0.2">
      <c r="A294" s="20" t="str">
        <f>HYPERLINK("https://www.ncbi.nlm.nih.gov/protein/XP_030241298.1?report=genbank&amp;log$=prottop&amp;blast_rank=777&amp;RID=DNNRD06A013","XP_030241298.1")</f>
        <v>XP_030241298.1</v>
      </c>
      <c r="B294" s="45">
        <v>348</v>
      </c>
      <c r="C294" s="20" t="s">
        <v>430</v>
      </c>
      <c r="D294" s="21" t="s">
        <v>431</v>
      </c>
      <c r="E294" s="20">
        <v>61.2</v>
      </c>
      <c r="F294" s="20">
        <v>61.2</v>
      </c>
      <c r="G294" s="22">
        <v>0.5</v>
      </c>
      <c r="H294" s="23">
        <v>8.9999999999999996E-7</v>
      </c>
      <c r="I294" s="20">
        <v>32.93</v>
      </c>
      <c r="J294" s="20"/>
    </row>
    <row r="295" spans="1:10" x14ac:dyDescent="0.2">
      <c r="A295" s="20" t="str">
        <f>HYPERLINK("https://www.ncbi.nlm.nih.gov/protein/XP_030561787.1?report=genbank&amp;log$=prottop&amp;blast_rank=874&amp;RID=DNNRD06A013","XP_030561787.1")</f>
        <v>XP_030561787.1</v>
      </c>
      <c r="B295" s="45">
        <v>339</v>
      </c>
      <c r="C295" s="20" t="s">
        <v>432</v>
      </c>
      <c r="D295" s="21" t="s">
        <v>433</v>
      </c>
      <c r="E295" s="20">
        <v>54.3</v>
      </c>
      <c r="F295" s="20">
        <v>54.3</v>
      </c>
      <c r="G295" s="22">
        <v>0.5</v>
      </c>
      <c r="H295" s="23">
        <v>2.0000000000000001E-4</v>
      </c>
      <c r="I295" s="20">
        <v>27.88</v>
      </c>
      <c r="J295" s="20"/>
    </row>
    <row r="296" spans="1:10" x14ac:dyDescent="0.2">
      <c r="A296" s="20" t="str">
        <f>HYPERLINK("https://www.ncbi.nlm.nih.gov/protein/XP_041448329.1?report=genbank&amp;log$=prottop&amp;blast_rank=823&amp;RID=DNNRD06A013","XP_041448329.1")</f>
        <v>XP_041448329.1</v>
      </c>
      <c r="B296" s="45">
        <v>378</v>
      </c>
      <c r="C296" s="20" t="s">
        <v>434</v>
      </c>
      <c r="D296" s="21" t="s">
        <v>435</v>
      </c>
      <c r="E296" s="20">
        <v>58.2</v>
      </c>
      <c r="F296" s="20">
        <v>105</v>
      </c>
      <c r="G296" s="22">
        <v>0.73</v>
      </c>
      <c r="H296" s="23">
        <v>1.0000000000000001E-5</v>
      </c>
      <c r="I296" s="20">
        <v>30.54</v>
      </c>
      <c r="J296" s="20"/>
    </row>
    <row r="297" spans="1:10" x14ac:dyDescent="0.2">
      <c r="A297" s="20" t="str">
        <f>HYPERLINK("https://www.ncbi.nlm.nih.gov/protein/XP_002021806.1?report=genbank&amp;log$=prottop&amp;blast_rank=847&amp;RID=DNNRD06A013","XP_002021806.1")</f>
        <v>XP_002021806.1</v>
      </c>
      <c r="B297" s="45">
        <v>335</v>
      </c>
      <c r="C297" s="20" t="s">
        <v>436</v>
      </c>
      <c r="D297" s="21" t="s">
        <v>437</v>
      </c>
      <c r="E297" s="20">
        <v>56.6</v>
      </c>
      <c r="F297" s="20">
        <v>56.6</v>
      </c>
      <c r="G297" s="22">
        <v>0.53</v>
      </c>
      <c r="H297" s="23">
        <v>3.0000000000000001E-5</v>
      </c>
      <c r="I297" s="20">
        <v>33.33</v>
      </c>
      <c r="J297" s="20"/>
    </row>
    <row r="298" spans="1:10" x14ac:dyDescent="0.2">
      <c r="A298" s="20" t="str">
        <f>HYPERLINK("https://www.ncbi.nlm.nih.gov/protein/XP_001356147.2?report=genbank&amp;log$=prottop&amp;blast_rank=837&amp;RID=DNNRD06A013","XP_001356147.2")</f>
        <v>XP_001356147.2</v>
      </c>
      <c r="B298" s="45">
        <v>335</v>
      </c>
      <c r="C298" s="20" t="s">
        <v>438</v>
      </c>
      <c r="D298" s="21" t="s">
        <v>439</v>
      </c>
      <c r="E298" s="20">
        <v>57.4</v>
      </c>
      <c r="F298" s="20">
        <v>57.4</v>
      </c>
      <c r="G298" s="22">
        <v>0.52</v>
      </c>
      <c r="H298" s="23">
        <v>2.0000000000000002E-5</v>
      </c>
      <c r="I298" s="20">
        <v>33.92</v>
      </c>
      <c r="J298" s="20"/>
    </row>
    <row r="299" spans="1:10" x14ac:dyDescent="0.2">
      <c r="A299" s="20" t="str">
        <f>HYPERLINK("https://www.ncbi.nlm.nih.gov/protein/XP_016987675.1?report=genbank&amp;log$=prottop&amp;blast_rank=812&amp;RID=DNNRD06A013","XP_016987675.1")</f>
        <v>XP_016987675.1</v>
      </c>
      <c r="B299" s="45">
        <v>357</v>
      </c>
      <c r="C299" s="20" t="s">
        <v>440</v>
      </c>
      <c r="D299" s="21" t="s">
        <v>441</v>
      </c>
      <c r="E299" s="20">
        <v>58.9</v>
      </c>
      <c r="F299" s="20">
        <v>58.9</v>
      </c>
      <c r="G299" s="22">
        <v>0.47</v>
      </c>
      <c r="H299" s="23">
        <v>6.0000000000000002E-6</v>
      </c>
      <c r="I299" s="20">
        <v>31.82</v>
      </c>
      <c r="J299" s="20"/>
    </row>
    <row r="300" spans="1:10" x14ac:dyDescent="0.2">
      <c r="A300" s="20" t="str">
        <f>HYPERLINK("https://www.ncbi.nlm.nih.gov/protein/XP_039501461.1?report=genbank&amp;log$=prottop&amp;blast_rank=804&amp;RID=DNNRD06A013","XP_039501461.1")</f>
        <v>XP_039501461.1</v>
      </c>
      <c r="B300" s="45">
        <v>361</v>
      </c>
      <c r="C300" s="20" t="s">
        <v>442</v>
      </c>
      <c r="D300" s="21" t="s">
        <v>443</v>
      </c>
      <c r="E300" s="20">
        <v>59.3</v>
      </c>
      <c r="F300" s="20">
        <v>59.3</v>
      </c>
      <c r="G300" s="22">
        <v>0.48</v>
      </c>
      <c r="H300" s="23">
        <v>3.9999999999999998E-6</v>
      </c>
      <c r="I300" s="20">
        <v>32.08</v>
      </c>
      <c r="J300" s="20"/>
    </row>
    <row r="301" spans="1:10" x14ac:dyDescent="0.2">
      <c r="A301" s="20" t="str">
        <f>HYPERLINK("https://www.ncbi.nlm.nih.gov/protein/XP_002037661.1?report=genbank&amp;log$=prottop&amp;blast_rank=781&amp;RID=DNNRD06A013","XP_002037661.1")</f>
        <v>XP_002037661.1</v>
      </c>
      <c r="B301" s="45">
        <v>353</v>
      </c>
      <c r="C301" s="20" t="s">
        <v>444</v>
      </c>
      <c r="D301" s="21" t="s">
        <v>445</v>
      </c>
      <c r="E301" s="20">
        <v>60.8</v>
      </c>
      <c r="F301" s="20">
        <v>60.8</v>
      </c>
      <c r="G301" s="22">
        <v>0.51</v>
      </c>
      <c r="H301" s="23">
        <v>9.9999999999999995E-7</v>
      </c>
      <c r="I301" s="20">
        <v>32.14</v>
      </c>
      <c r="J301" s="20"/>
    </row>
    <row r="302" spans="1:10" x14ac:dyDescent="0.2">
      <c r="A302" s="20" t="str">
        <f>HYPERLINK("https://www.ncbi.nlm.nih.gov/protein/XP_020810815.1?report=genbank&amp;log$=prottop&amp;blast_rank=839&amp;RID=DNNRD06A013","XP_020810815.1")</f>
        <v>XP_020810815.1</v>
      </c>
      <c r="B302" s="45">
        <v>360</v>
      </c>
      <c r="C302" s="20" t="s">
        <v>446</v>
      </c>
      <c r="D302" s="21" t="s">
        <v>447</v>
      </c>
      <c r="E302" s="20">
        <v>57.4</v>
      </c>
      <c r="F302" s="20">
        <v>57.4</v>
      </c>
      <c r="G302" s="22">
        <v>0.48</v>
      </c>
      <c r="H302" s="23">
        <v>2.0000000000000002E-5</v>
      </c>
      <c r="I302" s="20">
        <v>31.29</v>
      </c>
      <c r="J302" s="20"/>
    </row>
    <row r="303" spans="1:10" x14ac:dyDescent="0.2">
      <c r="A303" s="20" t="str">
        <f>HYPERLINK("https://www.ncbi.nlm.nih.gov/protein/XP_016023216.1?report=genbank&amp;log$=prottop&amp;blast_rank=799&amp;RID=DNNRD06A013","XP_016023216.1")</f>
        <v>XP_016023216.1</v>
      </c>
      <c r="B303" s="45">
        <v>353</v>
      </c>
      <c r="C303" s="20" t="s">
        <v>448</v>
      </c>
      <c r="D303" s="21" t="s">
        <v>449</v>
      </c>
      <c r="E303" s="20">
        <v>59.7</v>
      </c>
      <c r="F303" s="20">
        <v>59.7</v>
      </c>
      <c r="G303" s="22">
        <v>0.51</v>
      </c>
      <c r="H303" s="23">
        <v>3.9999999999999998E-6</v>
      </c>
      <c r="I303" s="20">
        <v>32.14</v>
      </c>
      <c r="J303" s="20"/>
    </row>
    <row r="304" spans="1:10" x14ac:dyDescent="0.2">
      <c r="A304" s="20" t="str">
        <f>HYPERLINK("https://www.ncbi.nlm.nih.gov/protein/XP_034670124.1?report=genbank&amp;log$=prottop&amp;blast_rank=859&amp;RID=DNNRD06A013","XP_034670124.1")</f>
        <v>XP_034670124.1</v>
      </c>
      <c r="B304" s="45">
        <v>365</v>
      </c>
      <c r="C304" s="20" t="s">
        <v>450</v>
      </c>
      <c r="D304" s="21" t="s">
        <v>451</v>
      </c>
      <c r="E304" s="20">
        <v>55.5</v>
      </c>
      <c r="F304" s="20">
        <v>103</v>
      </c>
      <c r="G304" s="22">
        <v>0.7</v>
      </c>
      <c r="H304" s="23">
        <v>9.0000000000000006E-5</v>
      </c>
      <c r="I304" s="20">
        <v>31.79</v>
      </c>
      <c r="J304" s="20"/>
    </row>
    <row r="305" spans="1:10" x14ac:dyDescent="0.2">
      <c r="A305" s="20" t="str">
        <f>HYPERLINK("https://www.ncbi.nlm.nih.gov/protein/XP_037708520.1?report=genbank&amp;log$=prottop&amp;blast_rank=857&amp;RID=DNNRD06A013","XP_037708520.1")</f>
        <v>XP_037708520.1</v>
      </c>
      <c r="B305" s="45">
        <v>372</v>
      </c>
      <c r="C305" s="20" t="s">
        <v>452</v>
      </c>
      <c r="D305" s="21" t="s">
        <v>453</v>
      </c>
      <c r="E305" s="20">
        <v>55.8</v>
      </c>
      <c r="F305" s="20">
        <v>55.8</v>
      </c>
      <c r="G305" s="22">
        <v>0.48</v>
      </c>
      <c r="H305" s="23">
        <v>6.0000000000000002E-5</v>
      </c>
      <c r="I305" s="20">
        <v>32.5</v>
      </c>
      <c r="J305" s="20"/>
    </row>
    <row r="306" spans="1:10" x14ac:dyDescent="0.2">
      <c r="A306" s="20" t="str">
        <f>HYPERLINK("https://www.ncbi.nlm.nih.gov/protein/XP_016940284.1?report=genbank&amp;log$=prottop&amp;blast_rank=811&amp;RID=DNNRD06A013","XP_016940284.1")</f>
        <v>XP_016940284.1</v>
      </c>
      <c r="B306" s="45">
        <v>380</v>
      </c>
      <c r="C306" s="20" t="s">
        <v>454</v>
      </c>
      <c r="D306" s="21" t="s">
        <v>455</v>
      </c>
      <c r="E306" s="20">
        <v>58.9</v>
      </c>
      <c r="F306" s="20">
        <v>58.9</v>
      </c>
      <c r="G306" s="22">
        <v>0.48</v>
      </c>
      <c r="H306" s="23">
        <v>6.0000000000000002E-6</v>
      </c>
      <c r="I306" s="20">
        <v>31.88</v>
      </c>
      <c r="J306" s="20"/>
    </row>
    <row r="307" spans="1:10" x14ac:dyDescent="0.2">
      <c r="A307" s="20" t="str">
        <f>HYPERLINK("https://www.ncbi.nlm.nih.gov/protein/XP_017003979.2?report=genbank&amp;log$=prottop&amp;blast_rank=840&amp;RID=DNNRD06A013","XP_017003979.2")</f>
        <v>XP_017003979.2</v>
      </c>
      <c r="B307" s="45">
        <v>346</v>
      </c>
      <c r="C307" s="20" t="s">
        <v>456</v>
      </c>
      <c r="D307" s="21" t="s">
        <v>457</v>
      </c>
      <c r="E307" s="20">
        <v>57</v>
      </c>
      <c r="F307" s="20">
        <v>57</v>
      </c>
      <c r="G307" s="22">
        <v>0.47</v>
      </c>
      <c r="H307" s="23">
        <v>2.0000000000000002E-5</v>
      </c>
      <c r="I307" s="20">
        <v>32.700000000000003</v>
      </c>
      <c r="J307" s="20"/>
    </row>
    <row r="308" spans="1:10" x14ac:dyDescent="0.2">
      <c r="A308" s="20" t="str">
        <f>HYPERLINK("https://www.ncbi.nlm.nih.gov/protein/XP_043652456.1?report=genbank&amp;log$=prottop&amp;blast_rank=784&amp;RID=DNNRD06A013","XP_043652456.1")</f>
        <v>XP_043652456.1</v>
      </c>
      <c r="B308" s="45">
        <v>364</v>
      </c>
      <c r="C308" s="20" t="s">
        <v>458</v>
      </c>
      <c r="D308" s="21" t="s">
        <v>459</v>
      </c>
      <c r="E308" s="20">
        <v>60.8</v>
      </c>
      <c r="F308" s="20">
        <v>60.8</v>
      </c>
      <c r="G308" s="22">
        <v>0.53</v>
      </c>
      <c r="H308" s="23">
        <v>9.9999999999999995E-7</v>
      </c>
      <c r="I308" s="20">
        <v>30.94</v>
      </c>
      <c r="J308" s="20"/>
    </row>
    <row r="309" spans="1:10" x14ac:dyDescent="0.2">
      <c r="A309" s="20" t="str">
        <f>HYPERLINK("https://www.ncbi.nlm.nih.gov/protein/XP_015025191.1?report=genbank&amp;log$=prottop&amp;blast_rank=871&amp;RID=DNNRD06A013","XP_015025191.1")</f>
        <v>XP_015025191.1</v>
      </c>
      <c r="B309" s="45">
        <v>344</v>
      </c>
      <c r="C309" s="20" t="s">
        <v>460</v>
      </c>
      <c r="D309" s="21" t="s">
        <v>461</v>
      </c>
      <c r="E309" s="20">
        <v>54.7</v>
      </c>
      <c r="F309" s="20">
        <v>54.7</v>
      </c>
      <c r="G309" s="22">
        <v>0.5</v>
      </c>
      <c r="H309" s="23">
        <v>2.0000000000000001E-4</v>
      </c>
      <c r="I309" s="20">
        <v>28.24</v>
      </c>
      <c r="J309" s="20"/>
    </row>
    <row r="310" spans="1:10" x14ac:dyDescent="0.2">
      <c r="A310" s="20" t="str">
        <f>HYPERLINK("https://www.ncbi.nlm.nih.gov/protein/XP_002067177.1?report=genbank&amp;log$=prottop&amp;blast_rank=796&amp;RID=DNNRD06A013","XP_002067177.1")</f>
        <v>XP_002067177.1</v>
      </c>
      <c r="B310" s="45">
        <v>367</v>
      </c>
      <c r="C310" s="20" t="s">
        <v>462</v>
      </c>
      <c r="D310" s="21" t="s">
        <v>463</v>
      </c>
      <c r="E310" s="20">
        <v>59.7</v>
      </c>
      <c r="F310" s="20">
        <v>59.7</v>
      </c>
      <c r="G310" s="22">
        <v>0.49</v>
      </c>
      <c r="H310" s="23">
        <v>3.0000000000000001E-6</v>
      </c>
      <c r="I310" s="20">
        <v>31.01</v>
      </c>
      <c r="J310" s="20"/>
    </row>
    <row r="311" spans="1:10" x14ac:dyDescent="0.2">
      <c r="A311" s="20" t="str">
        <f>HYPERLINK("https://www.ncbi.nlm.nih.gov/protein/XP_002087759.1?report=genbank&amp;log$=prottop&amp;blast_rank=822&amp;RID=DNNRD06A013","XP_002087759.1")</f>
        <v>XP_002087759.1</v>
      </c>
      <c r="B311" s="45">
        <v>361</v>
      </c>
      <c r="C311" s="20" t="s">
        <v>464</v>
      </c>
      <c r="D311" s="21" t="s">
        <v>465</v>
      </c>
      <c r="E311" s="20">
        <v>58.2</v>
      </c>
      <c r="F311" s="20">
        <v>58.2</v>
      </c>
      <c r="G311" s="22">
        <v>0.51</v>
      </c>
      <c r="H311" s="23">
        <v>1.0000000000000001E-5</v>
      </c>
      <c r="I311" s="20">
        <v>31.74</v>
      </c>
      <c r="J311" s="20"/>
    </row>
    <row r="312" spans="1:10" x14ac:dyDescent="0.2">
      <c r="A312" s="20" t="str">
        <f>HYPERLINK("https://www.ncbi.nlm.nih.gov/protein/XP_015435206.1?report=genbank&amp;log$=prottop&amp;blast_rank=756&amp;RID=DNNRD06A013","XP_015435206.1")</f>
        <v>XP_015435206.1</v>
      </c>
      <c r="B312" s="45">
        <v>326</v>
      </c>
      <c r="C312" s="20" t="s">
        <v>466</v>
      </c>
      <c r="D312" s="21" t="s">
        <v>467</v>
      </c>
      <c r="E312" s="20">
        <v>64.3</v>
      </c>
      <c r="F312" s="20">
        <v>64.3</v>
      </c>
      <c r="G312" s="22">
        <v>0.48</v>
      </c>
      <c r="H312" s="23">
        <v>8.9999999999999999E-8</v>
      </c>
      <c r="I312" s="20">
        <v>33.119999999999997</v>
      </c>
      <c r="J312" s="20"/>
    </row>
    <row r="313" spans="1:10" x14ac:dyDescent="0.2">
      <c r="A313" s="20" t="str">
        <f>HYPERLINK("https://www.ncbi.nlm.nih.gov/protein/XP_024356089.1?report=genbank&amp;log$=prottop&amp;blast_rank=523&amp;RID=DNNRD06A013","XP_024356089.1")</f>
        <v>XP_024356089.1</v>
      </c>
      <c r="B313" s="45">
        <v>277</v>
      </c>
      <c r="C313" s="20" t="s">
        <v>468</v>
      </c>
      <c r="D313" s="21" t="s">
        <v>469</v>
      </c>
      <c r="E313" s="20">
        <v>95.9</v>
      </c>
      <c r="F313" s="20">
        <v>95.9</v>
      </c>
      <c r="G313" s="22">
        <v>0.73</v>
      </c>
      <c r="H313" s="23">
        <v>3.9999999999999999E-19</v>
      </c>
      <c r="I313" s="20">
        <v>28.84</v>
      </c>
      <c r="J313" s="20"/>
    </row>
    <row r="314" spans="1:10" x14ac:dyDescent="0.2">
      <c r="A314" s="20" t="str">
        <f>HYPERLINK("https://www.ncbi.nlm.nih.gov/protein/XP_045141426.1?report=genbank&amp;log$=prottop&amp;blast_rank=310&amp;RID=DNNRD06A013","XP_045141426.1")</f>
        <v>XP_045141426.1</v>
      </c>
      <c r="B314" s="45">
        <v>311</v>
      </c>
      <c r="C314" s="20" t="s">
        <v>470</v>
      </c>
      <c r="D314" s="21" t="s">
        <v>471</v>
      </c>
      <c r="E314" s="20">
        <v>154</v>
      </c>
      <c r="F314" s="20">
        <v>154</v>
      </c>
      <c r="G314" s="22">
        <v>0.7</v>
      </c>
      <c r="H314" s="23">
        <v>9.9999999999999993E-41</v>
      </c>
      <c r="I314" s="20">
        <v>46.9</v>
      </c>
      <c r="J314" s="20"/>
    </row>
    <row r="315" spans="1:10" x14ac:dyDescent="0.2">
      <c r="A315" s="20" t="str">
        <f>HYPERLINK("https://www.ncbi.nlm.nih.gov/protein/XP_045141427.1?report=genbank&amp;log$=prottop&amp;blast_rank=256&amp;RID=DNNRD06A013","XP_045141427.1")</f>
        <v>XP_045141427.1</v>
      </c>
      <c r="B315" s="45">
        <v>231</v>
      </c>
      <c r="C315" s="20" t="s">
        <v>472</v>
      </c>
      <c r="D315" s="21" t="s">
        <v>471</v>
      </c>
      <c r="E315" s="20">
        <v>154</v>
      </c>
      <c r="F315" s="20">
        <v>154</v>
      </c>
      <c r="G315" s="22">
        <v>0.71</v>
      </c>
      <c r="H315" s="23">
        <v>1E-41</v>
      </c>
      <c r="I315" s="20">
        <v>46.7</v>
      </c>
      <c r="J315" s="20"/>
    </row>
    <row r="316" spans="1:10" x14ac:dyDescent="0.2">
      <c r="A316" s="20" t="str">
        <f>HYPERLINK("https://www.ncbi.nlm.nih.gov/protein/XP_004704037.1?report=genbank&amp;log$=prottop&amp;blast_rank=116&amp;RID=DNNRD06A013","XP_004704037.1")</f>
        <v>XP_004704037.1</v>
      </c>
      <c r="B316" s="45">
        <v>311</v>
      </c>
      <c r="C316" s="20" t="s">
        <v>473</v>
      </c>
      <c r="D316" s="21" t="s">
        <v>471</v>
      </c>
      <c r="E316" s="20">
        <v>380</v>
      </c>
      <c r="F316" s="20">
        <v>380</v>
      </c>
      <c r="G316" s="22">
        <v>1</v>
      </c>
      <c r="H316" s="23">
        <v>3.9999999999999997E-129</v>
      </c>
      <c r="I316" s="20">
        <v>76.75</v>
      </c>
      <c r="J316" s="20"/>
    </row>
    <row r="317" spans="1:10" x14ac:dyDescent="0.2">
      <c r="A317" s="20" t="str">
        <f>HYPERLINK("https://www.ncbi.nlm.nih.gov/protein/XP_006893085.1?report=genbank&amp;log$=prottop&amp;blast_rank=133&amp;RID=DNNRD06A013","XP_006893085.1")</f>
        <v>XP_006893085.1</v>
      </c>
      <c r="B317" s="45">
        <v>314</v>
      </c>
      <c r="C317" s="20" t="s">
        <v>474</v>
      </c>
      <c r="D317" s="21" t="s">
        <v>475</v>
      </c>
      <c r="E317" s="20">
        <v>363</v>
      </c>
      <c r="F317" s="20">
        <v>363</v>
      </c>
      <c r="G317" s="22">
        <v>1</v>
      </c>
      <c r="H317" s="23">
        <v>8.9999999999999999E-123</v>
      </c>
      <c r="I317" s="20">
        <v>77.39</v>
      </c>
      <c r="J317" s="20"/>
    </row>
    <row r="318" spans="1:10" x14ac:dyDescent="0.2">
      <c r="A318" s="20" t="str">
        <f>HYPERLINK("https://www.ncbi.nlm.nih.gov/protein/XP_006900051.1?report=genbank&amp;log$=prottop&amp;blast_rank=376&amp;RID=DNNRD06A013","XP_006900051.1")</f>
        <v>XP_006900051.1</v>
      </c>
      <c r="B318" s="45">
        <v>236</v>
      </c>
      <c r="C318" s="20" t="s">
        <v>476</v>
      </c>
      <c r="D318" s="21" t="s">
        <v>475</v>
      </c>
      <c r="E318" s="20">
        <v>148</v>
      </c>
      <c r="F318" s="20">
        <v>148</v>
      </c>
      <c r="G318" s="22">
        <v>0.7</v>
      </c>
      <c r="H318" s="23">
        <v>1.9999999999999999E-39</v>
      </c>
      <c r="I318" s="20">
        <v>45.13</v>
      </c>
      <c r="J318" s="20"/>
    </row>
    <row r="319" spans="1:10" x14ac:dyDescent="0.2">
      <c r="A319" s="20" t="str">
        <f>HYPERLINK("https://www.ncbi.nlm.nih.gov/protein/XP_022347017.1?report=genbank&amp;log$=prottop&amp;blast_rank=225&amp;RID=DNNRD06A013","XP_022347017.1")</f>
        <v>XP_022347017.1</v>
      </c>
      <c r="B319" s="45">
        <v>236</v>
      </c>
      <c r="C319" s="20" t="s">
        <v>477</v>
      </c>
      <c r="D319" s="21" t="s">
        <v>478</v>
      </c>
      <c r="E319" s="20">
        <v>157</v>
      </c>
      <c r="F319" s="20">
        <v>157</v>
      </c>
      <c r="G319" s="22">
        <v>0.7</v>
      </c>
      <c r="H319" s="23">
        <v>6.0000000000000001E-43</v>
      </c>
      <c r="I319" s="20">
        <v>47.35</v>
      </c>
      <c r="J319" s="20"/>
    </row>
    <row r="320" spans="1:10" x14ac:dyDescent="0.2">
      <c r="A320" s="20" t="str">
        <f>HYPERLINK("https://www.ncbi.nlm.nih.gov/protein/XP_022354199.1?report=genbank&amp;log$=prottop&amp;blast_rank=100&amp;RID=DNNRD06A013","XP_022354199.1")</f>
        <v>XP_022354199.1</v>
      </c>
      <c r="B320" s="45">
        <v>313</v>
      </c>
      <c r="C320" s="20" t="s">
        <v>479</v>
      </c>
      <c r="D320" s="21" t="s">
        <v>478</v>
      </c>
      <c r="E320" s="20">
        <v>388</v>
      </c>
      <c r="F320" s="20">
        <v>388</v>
      </c>
      <c r="G320" s="22">
        <v>1</v>
      </c>
      <c r="H320" s="23">
        <v>2E-132</v>
      </c>
      <c r="I320" s="20">
        <v>78.03</v>
      </c>
      <c r="J320" s="20"/>
    </row>
    <row r="321" spans="1:10" x14ac:dyDescent="0.2">
      <c r="A321" s="20" t="str">
        <f>HYPERLINK("https://www.ncbi.nlm.nih.gov/protein/XP_008157453.1?report=genbank&amp;log$=prottop&amp;blast_rank=222&amp;RID=DNNRD06A013","XP_008157453.1")</f>
        <v>XP_008157453.1</v>
      </c>
      <c r="B321" s="45">
        <v>236</v>
      </c>
      <c r="C321" s="20" t="s">
        <v>480</v>
      </c>
      <c r="D321" s="21" t="s">
        <v>481</v>
      </c>
      <c r="E321" s="20">
        <v>158</v>
      </c>
      <c r="F321" s="20">
        <v>158</v>
      </c>
      <c r="G321" s="22">
        <v>0.7</v>
      </c>
      <c r="H321" s="23">
        <v>2.0000000000000002E-43</v>
      </c>
      <c r="I321" s="20">
        <v>46.9</v>
      </c>
      <c r="J321" s="20"/>
    </row>
    <row r="322" spans="1:10" x14ac:dyDescent="0.2">
      <c r="A322" s="20" t="str">
        <f>HYPERLINK("https://www.ncbi.nlm.nih.gov/protein/XP_008155941.1?report=genbank&amp;log$=prottop&amp;blast_rank=157&amp;RID=DNNRD06A013","XP_008155941.1")</f>
        <v>XP_008155941.1</v>
      </c>
      <c r="B322" s="45">
        <v>309</v>
      </c>
      <c r="C322" s="20" t="s">
        <v>482</v>
      </c>
      <c r="D322" s="21" t="s">
        <v>481</v>
      </c>
      <c r="E322" s="20">
        <v>352</v>
      </c>
      <c r="F322" s="20">
        <v>352</v>
      </c>
      <c r="G322" s="22">
        <v>0.99</v>
      </c>
      <c r="H322" s="23">
        <v>3.0000000000000002E-118</v>
      </c>
      <c r="I322" s="20">
        <v>76.92</v>
      </c>
      <c r="J322" s="20"/>
    </row>
    <row r="323" spans="1:10" x14ac:dyDescent="0.2">
      <c r="A323" s="20" t="str">
        <f>HYPERLINK("https://www.ncbi.nlm.nih.gov/protein/XP_044619255.1?report=genbank&amp;log$=prottop&amp;blast_rank=385&amp;RID=DNNRD06A013","XP_044619255.1")</f>
        <v>XP_044619255.1</v>
      </c>
      <c r="B323" s="45">
        <v>236</v>
      </c>
      <c r="C323" s="20" t="s">
        <v>483</v>
      </c>
      <c r="D323" s="21" t="s">
        <v>484</v>
      </c>
      <c r="E323" s="20">
        <v>147</v>
      </c>
      <c r="F323" s="20">
        <v>147</v>
      </c>
      <c r="G323" s="22">
        <v>0.7</v>
      </c>
      <c r="H323" s="23">
        <v>6.0000000000000006E-39</v>
      </c>
      <c r="I323" s="20">
        <v>44.69</v>
      </c>
      <c r="J323" s="20"/>
    </row>
    <row r="324" spans="1:10" x14ac:dyDescent="0.2">
      <c r="A324" s="20" t="str">
        <f>HYPERLINK("https://www.ncbi.nlm.nih.gov/protein/XP_014682120.2?report=genbank&amp;log$=prottop&amp;blast_rank=80&amp;RID=DNNRD06A013","XP_014682120.2")</f>
        <v>XP_014682120.2</v>
      </c>
      <c r="B324" s="45">
        <v>314</v>
      </c>
      <c r="C324" s="20" t="s">
        <v>485</v>
      </c>
      <c r="D324" s="21" t="s">
        <v>484</v>
      </c>
      <c r="E324" s="20">
        <v>396</v>
      </c>
      <c r="F324" s="20">
        <v>396</v>
      </c>
      <c r="G324" s="22">
        <v>1</v>
      </c>
      <c r="H324" s="23">
        <v>2.0000000000000001E-135</v>
      </c>
      <c r="I324" s="20">
        <v>81.849999999999994</v>
      </c>
      <c r="J324" s="20"/>
    </row>
    <row r="325" spans="1:10" x14ac:dyDescent="0.2">
      <c r="A325" s="20" t="str">
        <f>HYPERLINK("https://www.ncbi.nlm.nih.gov/protein/XP_005614677.1?report=genbank&amp;log$=prottop&amp;blast_rank=348&amp;RID=DNNRD06A013","XP_005614677.1")</f>
        <v>XP_005614677.1</v>
      </c>
      <c r="B325" s="45">
        <v>236</v>
      </c>
      <c r="C325" s="20" t="s">
        <v>486</v>
      </c>
      <c r="D325" s="21" t="s">
        <v>487</v>
      </c>
      <c r="E325" s="20">
        <v>150</v>
      </c>
      <c r="F325" s="20">
        <v>150</v>
      </c>
      <c r="G325" s="22">
        <v>0.7</v>
      </c>
      <c r="H325" s="23">
        <v>4.9999999999999996E-40</v>
      </c>
      <c r="I325" s="20">
        <v>45.13</v>
      </c>
      <c r="J325" s="20"/>
    </row>
    <row r="326" spans="1:10" x14ac:dyDescent="0.2">
      <c r="A326" s="20" t="str">
        <f>HYPERLINK("https://www.ncbi.nlm.nih.gov/protein/XP_005600757.1?report=genbank&amp;log$=prottop&amp;blast_rank=87&amp;RID=DNNRD06A013","XP_005600757.1")</f>
        <v>XP_005600757.1</v>
      </c>
      <c r="B326" s="45">
        <v>314</v>
      </c>
      <c r="C326" s="20" t="s">
        <v>488</v>
      </c>
      <c r="D326" s="21" t="s">
        <v>487</v>
      </c>
      <c r="E326" s="20">
        <v>394</v>
      </c>
      <c r="F326" s="20">
        <v>394</v>
      </c>
      <c r="G326" s="22">
        <v>1</v>
      </c>
      <c r="H326" s="23">
        <v>1E-134</v>
      </c>
      <c r="I326" s="20">
        <v>81.53</v>
      </c>
      <c r="J326" s="20"/>
    </row>
    <row r="327" spans="1:10" x14ac:dyDescent="0.2">
      <c r="A327" s="15" t="str">
        <f>HYPERLINK("https://www.ncbi.nlm.nih.gov/protein/XP_008510310.1?report=genbank&amp;log$=prottop&amp;blast_rank=693&amp;RID=DNNRD06A013","XP_008510310.1")</f>
        <v>XP_008510310.1</v>
      </c>
      <c r="B327" s="44">
        <v>92</v>
      </c>
      <c r="C327" s="15" t="s">
        <v>489</v>
      </c>
      <c r="D327" s="16" t="s">
        <v>490</v>
      </c>
      <c r="E327" s="15">
        <v>67.400000000000006</v>
      </c>
      <c r="F327" s="15">
        <v>67.400000000000006</v>
      </c>
      <c r="G327" s="17">
        <v>0.27</v>
      </c>
      <c r="H327" s="18">
        <v>2.0000000000000001E-10</v>
      </c>
      <c r="I327" s="15">
        <v>45.35</v>
      </c>
      <c r="J327" s="15" t="s">
        <v>18</v>
      </c>
    </row>
    <row r="328" spans="1:10" x14ac:dyDescent="0.2">
      <c r="A328" s="20" t="str">
        <f>HYPERLINK("https://www.ncbi.nlm.nih.gov/protein/XP_046529234.1?report=genbank&amp;log$=prottop&amp;blast_rank=334&amp;RID=DNNRD06A013","XP_046529234.1")</f>
        <v>XP_046529234.1</v>
      </c>
      <c r="B328" s="45">
        <v>236</v>
      </c>
      <c r="C328" s="20" t="s">
        <v>491</v>
      </c>
      <c r="D328" s="21" t="s">
        <v>492</v>
      </c>
      <c r="E328" s="20">
        <v>150</v>
      </c>
      <c r="F328" s="20">
        <v>150</v>
      </c>
      <c r="G328" s="22">
        <v>0.7</v>
      </c>
      <c r="H328" s="23">
        <v>3.9999999999999997E-40</v>
      </c>
      <c r="I328" s="20">
        <v>45.13</v>
      </c>
      <c r="J328" s="20"/>
    </row>
    <row r="329" spans="1:10" x14ac:dyDescent="0.2">
      <c r="A329" s="20" t="str">
        <f>HYPERLINK("https://www.ncbi.nlm.nih.gov/protein/XP_046517666.1?report=genbank&amp;log$=prottop&amp;blast_rank=78&amp;RID=DNNRD06A013","XP_046517666.1")</f>
        <v>XP_046517666.1</v>
      </c>
      <c r="B329" s="45">
        <v>314</v>
      </c>
      <c r="C329" s="20" t="s">
        <v>493</v>
      </c>
      <c r="D329" s="21" t="s">
        <v>492</v>
      </c>
      <c r="E329" s="20">
        <v>397</v>
      </c>
      <c r="F329" s="20">
        <v>397</v>
      </c>
      <c r="G329" s="22">
        <v>1</v>
      </c>
      <c r="H329" s="23">
        <v>5.9999999999999996E-136</v>
      </c>
      <c r="I329" s="20">
        <v>82.17</v>
      </c>
      <c r="J329" s="20"/>
    </row>
    <row r="330" spans="1:10" x14ac:dyDescent="0.2">
      <c r="A330" s="20" t="str">
        <f>HYPERLINK("https://www.ncbi.nlm.nih.gov/protein/XP_007534962.1?report=genbank&amp;log$=prottop&amp;blast_rank=303&amp;RID=DNNRD06A013","XP_007534962.1")</f>
        <v>XP_007534962.1</v>
      </c>
      <c r="B330" s="45">
        <v>236</v>
      </c>
      <c r="C330" s="20" t="s">
        <v>494</v>
      </c>
      <c r="D330" s="21" t="s">
        <v>495</v>
      </c>
      <c r="E330" s="20">
        <v>152</v>
      </c>
      <c r="F330" s="20">
        <v>152</v>
      </c>
      <c r="G330" s="22">
        <v>0.71</v>
      </c>
      <c r="H330" s="23">
        <v>9.0000000000000002E-41</v>
      </c>
      <c r="I330" s="20">
        <v>45.41</v>
      </c>
      <c r="J330" s="20"/>
    </row>
    <row r="331" spans="1:10" x14ac:dyDescent="0.2">
      <c r="A331" s="20" t="str">
        <f>HYPERLINK("https://www.ncbi.nlm.nih.gov/protein/XP_007533646.1?report=genbank&amp;log$=prottop&amp;blast_rank=124&amp;RID=DNNRD06A013","XP_007533646.1")</f>
        <v>XP_007533646.1</v>
      </c>
      <c r="B331" s="45">
        <v>309</v>
      </c>
      <c r="C331" s="20" t="s">
        <v>496</v>
      </c>
      <c r="D331" s="21" t="s">
        <v>495</v>
      </c>
      <c r="E331" s="20">
        <v>369</v>
      </c>
      <c r="F331" s="20">
        <v>369</v>
      </c>
      <c r="G331" s="22">
        <v>1</v>
      </c>
      <c r="H331" s="23">
        <v>4.9999999999999997E-125</v>
      </c>
      <c r="I331" s="20">
        <v>76.430000000000007</v>
      </c>
      <c r="J331" s="20"/>
    </row>
    <row r="332" spans="1:10" x14ac:dyDescent="0.2">
      <c r="A332" s="20" t="str">
        <f>HYPERLINK("https://www.ncbi.nlm.nih.gov/protein/XP_028669218.1?report=genbank&amp;log$=prottop&amp;blast_rank=388&amp;RID=DNNRD06A013","XP_028669218.1")</f>
        <v>XP_028669218.1</v>
      </c>
      <c r="B332" s="45">
        <v>264</v>
      </c>
      <c r="C332" s="20" t="s">
        <v>497</v>
      </c>
      <c r="D332" s="21" t="s">
        <v>498</v>
      </c>
      <c r="E332" s="20">
        <v>147</v>
      </c>
      <c r="F332" s="20">
        <v>147</v>
      </c>
      <c r="G332" s="22">
        <v>0.75</v>
      </c>
      <c r="H332" s="23">
        <v>7.9999999999999994E-39</v>
      </c>
      <c r="I332" s="20">
        <v>40.76</v>
      </c>
      <c r="J332" s="20"/>
    </row>
    <row r="333" spans="1:10" x14ac:dyDescent="0.2">
      <c r="A333" s="20" t="str">
        <f>HYPERLINK("https://www.ncbi.nlm.nih.gov/protein/XP_017763733.1?report=genbank&amp;log$=prottop&amp;blast_rank=793&amp;RID=DNNRD06A013","XP_017763733.1")</f>
        <v>XP_017763733.1</v>
      </c>
      <c r="B333" s="45">
        <v>326</v>
      </c>
      <c r="C333" s="20" t="s">
        <v>499</v>
      </c>
      <c r="D333" s="21" t="s">
        <v>500</v>
      </c>
      <c r="E333" s="20">
        <v>59.7</v>
      </c>
      <c r="F333" s="20">
        <v>59.7</v>
      </c>
      <c r="G333" s="22">
        <v>0.42</v>
      </c>
      <c r="H333" s="23">
        <v>3.0000000000000001E-6</v>
      </c>
      <c r="I333" s="20">
        <v>34.33</v>
      </c>
      <c r="J333" s="20"/>
    </row>
    <row r="334" spans="1:10" x14ac:dyDescent="0.2">
      <c r="A334" s="20" t="str">
        <f>HYPERLINK("https://www.ncbi.nlm.nih.gov/protein/XP_027950186.1?report=genbank&amp;log$=prottop&amp;blast_rank=298&amp;RID=DNNRD06A013","XP_027950186.1")</f>
        <v>XP_027950186.1</v>
      </c>
      <c r="B334" s="45">
        <v>236</v>
      </c>
      <c r="C334" s="20" t="s">
        <v>501</v>
      </c>
      <c r="D334" s="21" t="s">
        <v>502</v>
      </c>
      <c r="E334" s="20">
        <v>152</v>
      </c>
      <c r="F334" s="20">
        <v>152</v>
      </c>
      <c r="G334" s="22">
        <v>0.7</v>
      </c>
      <c r="H334" s="23">
        <v>5.9999999999999998E-41</v>
      </c>
      <c r="I334" s="20">
        <v>47.35</v>
      </c>
      <c r="J334" s="20"/>
    </row>
    <row r="335" spans="1:10" x14ac:dyDescent="0.2">
      <c r="A335" s="20" t="str">
        <f>HYPERLINK("https://www.ncbi.nlm.nih.gov/protein/XP_027980064.1?report=genbank&amp;log$=prottop&amp;blast_rank=49&amp;RID=DNNRD06A013","XP_027980064.1")</f>
        <v>XP_027980064.1</v>
      </c>
      <c r="B335" s="45">
        <v>314</v>
      </c>
      <c r="C335" s="20" t="s">
        <v>503</v>
      </c>
      <c r="D335" s="21" t="s">
        <v>502</v>
      </c>
      <c r="E335" s="20">
        <v>405</v>
      </c>
      <c r="F335" s="20">
        <v>405</v>
      </c>
      <c r="G335" s="22">
        <v>1</v>
      </c>
      <c r="H335" s="23">
        <v>4.0000000000000001E-139</v>
      </c>
      <c r="I335" s="20">
        <v>81.209999999999994</v>
      </c>
      <c r="J335" s="20"/>
    </row>
    <row r="336" spans="1:10" x14ac:dyDescent="0.2">
      <c r="A336" s="20" t="str">
        <f>HYPERLINK("https://www.ncbi.nlm.nih.gov/protein/XP_023328799.1?report=genbank&amp;log$=prottop&amp;blast_rank=631&amp;RID=DNNRD06A013","XP_023328799.1")</f>
        <v>XP_023328799.1</v>
      </c>
      <c r="B336" s="45">
        <v>501</v>
      </c>
      <c r="C336" s="20" t="s">
        <v>504</v>
      </c>
      <c r="D336" s="21" t="s">
        <v>505</v>
      </c>
      <c r="E336" s="20">
        <v>79.7</v>
      </c>
      <c r="F336" s="20">
        <v>79.7</v>
      </c>
      <c r="G336" s="22">
        <v>0.48</v>
      </c>
      <c r="H336" s="23">
        <v>9.9999999999999998E-13</v>
      </c>
      <c r="I336" s="20">
        <v>37.200000000000003</v>
      </c>
      <c r="J336" s="20"/>
    </row>
    <row r="337" spans="1:10" x14ac:dyDescent="0.2">
      <c r="A337" s="20" t="str">
        <f>HYPERLINK("https://www.ncbi.nlm.nih.gov/protein/XP_020904441.1?report=genbank&amp;log$=prottop&amp;blast_rank=507&amp;RID=DNNRD06A013","XP_020904441.1")</f>
        <v>XP_020904441.1</v>
      </c>
      <c r="B337" s="45">
        <v>274</v>
      </c>
      <c r="C337" s="20" t="s">
        <v>506</v>
      </c>
      <c r="D337" s="21" t="s">
        <v>507</v>
      </c>
      <c r="E337" s="20">
        <v>101</v>
      </c>
      <c r="F337" s="20">
        <v>101</v>
      </c>
      <c r="G337" s="22">
        <v>0.69</v>
      </c>
      <c r="H337" s="23">
        <v>2.9999999999999999E-21</v>
      </c>
      <c r="I337" s="20">
        <v>36.44</v>
      </c>
      <c r="J337" s="20"/>
    </row>
    <row r="338" spans="1:10" x14ac:dyDescent="0.2">
      <c r="A338" s="20" t="str">
        <f>HYPERLINK("https://www.ncbi.nlm.nih.gov/protein/XP_006944163.1?report=genbank&amp;log$=prottop&amp;blast_rank=300&amp;RID=DNNRD06A013","XP_006944163.1")</f>
        <v>XP_006944163.1</v>
      </c>
      <c r="B338" s="45">
        <v>236</v>
      </c>
      <c r="C338" s="20" t="s">
        <v>508</v>
      </c>
      <c r="D338" s="21" t="s">
        <v>509</v>
      </c>
      <c r="E338" s="20">
        <v>152</v>
      </c>
      <c r="F338" s="20">
        <v>152</v>
      </c>
      <c r="G338" s="22">
        <v>0.7</v>
      </c>
      <c r="H338" s="23">
        <v>6.9999999999999999E-41</v>
      </c>
      <c r="I338" s="20">
        <v>46.02</v>
      </c>
      <c r="J338" s="20"/>
    </row>
    <row r="339" spans="1:10" x14ac:dyDescent="0.2">
      <c r="A339" s="20" t="str">
        <f>HYPERLINK("https://www.ncbi.nlm.nih.gov/protein/XP_006928782.1?report=genbank&amp;log$=prottop&amp;blast_rank=57&amp;RID=DNNRD06A013","XP_006928782.1")</f>
        <v>XP_006928782.1</v>
      </c>
      <c r="B339" s="45">
        <v>314</v>
      </c>
      <c r="C339" s="20" t="s">
        <v>510</v>
      </c>
      <c r="D339" s="21" t="s">
        <v>509</v>
      </c>
      <c r="E339" s="20">
        <v>403</v>
      </c>
      <c r="F339" s="20">
        <v>403</v>
      </c>
      <c r="G339" s="22">
        <v>1</v>
      </c>
      <c r="H339" s="23">
        <v>3.0000000000000001E-138</v>
      </c>
      <c r="I339" s="20">
        <v>81.53</v>
      </c>
      <c r="J339" s="20"/>
    </row>
    <row r="340" spans="1:10" x14ac:dyDescent="0.2">
      <c r="A340" s="20" t="str">
        <f>HYPERLINK("https://www.ncbi.nlm.nih.gov/protein/XP_029661959.1?report=genbank&amp;log$=prottop&amp;blast_rank=842&amp;RID=DNNRD06A013","XP_029661959.1")</f>
        <v>XP_029661959.1</v>
      </c>
      <c r="B340" s="45">
        <v>326</v>
      </c>
      <c r="C340" s="20" t="s">
        <v>511</v>
      </c>
      <c r="D340" s="21" t="s">
        <v>512</v>
      </c>
      <c r="E340" s="20">
        <v>57</v>
      </c>
      <c r="F340" s="20">
        <v>57</v>
      </c>
      <c r="G340" s="22">
        <v>0.46</v>
      </c>
      <c r="H340" s="23">
        <v>3.0000000000000001E-5</v>
      </c>
      <c r="I340" s="20">
        <v>31.08</v>
      </c>
      <c r="J340" s="20"/>
    </row>
    <row r="341" spans="1:10" x14ac:dyDescent="0.2">
      <c r="A341" s="20" t="str">
        <f>HYPERLINK("https://www.ncbi.nlm.nih.gov/protein/XP_029662010.1?report=genbank&amp;log$=prottop&amp;blast_rank=810&amp;RID=DNNRD06A013","XP_029662010.1")</f>
        <v>XP_029662010.1</v>
      </c>
      <c r="B341" s="45">
        <v>326</v>
      </c>
      <c r="C341" s="20" t="s">
        <v>513</v>
      </c>
      <c r="D341" s="21" t="s">
        <v>512</v>
      </c>
      <c r="E341" s="20">
        <v>58.9</v>
      </c>
      <c r="F341" s="20">
        <v>58.9</v>
      </c>
      <c r="G341" s="22">
        <v>0.49</v>
      </c>
      <c r="H341" s="23">
        <v>5.0000000000000004E-6</v>
      </c>
      <c r="I341" s="20">
        <v>30.91</v>
      </c>
      <c r="J341" s="20"/>
    </row>
    <row r="342" spans="1:10" x14ac:dyDescent="0.2">
      <c r="A342" s="20" t="str">
        <f>HYPERLINK("https://www.ncbi.nlm.nih.gov/protein/XP_029672136.1?report=genbank&amp;log$=prottop&amp;blast_rank=807&amp;RID=DNNRD06A013","XP_029672136.1")</f>
        <v>XP_029672136.1</v>
      </c>
      <c r="B342" s="45">
        <v>326</v>
      </c>
      <c r="C342" s="20" t="s">
        <v>514</v>
      </c>
      <c r="D342" s="21" t="s">
        <v>512</v>
      </c>
      <c r="E342" s="20">
        <v>58.9</v>
      </c>
      <c r="F342" s="20">
        <v>58.9</v>
      </c>
      <c r="G342" s="22">
        <v>0.49</v>
      </c>
      <c r="H342" s="23">
        <v>5.0000000000000004E-6</v>
      </c>
      <c r="I342" s="20">
        <v>30.91</v>
      </c>
      <c r="J342" s="20"/>
    </row>
    <row r="343" spans="1:10" x14ac:dyDescent="0.2">
      <c r="A343" s="20" t="str">
        <f>HYPERLINK("https://www.ncbi.nlm.nih.gov/protein/XP_026274099.1?report=genbank&amp;log$=prottop&amp;blast_rank=708&amp;RID=DNNRD06A013","XP_026274099.1")</f>
        <v>XP_026274099.1</v>
      </c>
      <c r="B343" s="45">
        <v>327</v>
      </c>
      <c r="C343" s="20" t="s">
        <v>515</v>
      </c>
      <c r="D343" s="21" t="s">
        <v>516</v>
      </c>
      <c r="E343" s="20">
        <v>71.2</v>
      </c>
      <c r="F343" s="20">
        <v>71.2</v>
      </c>
      <c r="G343" s="22">
        <v>0.48</v>
      </c>
      <c r="H343" s="23">
        <v>4.0000000000000001E-10</v>
      </c>
      <c r="I343" s="20">
        <v>37.659999999999997</v>
      </c>
      <c r="J343" s="20"/>
    </row>
    <row r="344" spans="1:10" x14ac:dyDescent="0.2">
      <c r="A344" s="20" t="str">
        <f>HYPERLINK("https://www.ncbi.nlm.nih.gov/protein/XP_043519167.1?report=genbank&amp;log$=prottop&amp;blast_rank=748&amp;RID=DNNRD06A013","XP_043519167.1")</f>
        <v>XP_043519167.1</v>
      </c>
      <c r="B344" s="45">
        <v>332</v>
      </c>
      <c r="C344" s="20" t="s">
        <v>517</v>
      </c>
      <c r="D344" s="21" t="s">
        <v>518</v>
      </c>
      <c r="E344" s="20">
        <v>66.2</v>
      </c>
      <c r="F344" s="20">
        <v>66.2</v>
      </c>
      <c r="G344" s="22">
        <v>0.41</v>
      </c>
      <c r="H344" s="23">
        <v>2E-8</v>
      </c>
      <c r="I344" s="20">
        <v>36.840000000000003</v>
      </c>
      <c r="J344" s="20"/>
    </row>
    <row r="345" spans="1:10" x14ac:dyDescent="0.2">
      <c r="A345" s="20" t="str">
        <f>HYPERLINK("https://www.ncbi.nlm.nih.gov/protein/XP_010626315.1?report=genbank&amp;log$=prottop&amp;blast_rank=230&amp;RID=DNNRD06A013","XP_010626315.1")</f>
        <v>XP_010626315.1</v>
      </c>
      <c r="B345" s="45">
        <v>236</v>
      </c>
      <c r="C345" s="20" t="s">
        <v>519</v>
      </c>
      <c r="D345" s="21" t="s">
        <v>520</v>
      </c>
      <c r="E345" s="20">
        <v>156</v>
      </c>
      <c r="F345" s="20">
        <v>156</v>
      </c>
      <c r="G345" s="22">
        <v>0.7</v>
      </c>
      <c r="H345" s="23">
        <v>2.0000000000000001E-42</v>
      </c>
      <c r="I345" s="20">
        <v>46.9</v>
      </c>
      <c r="J345" s="20"/>
    </row>
    <row r="346" spans="1:10" x14ac:dyDescent="0.2">
      <c r="A346" s="20" t="str">
        <f>HYPERLINK("https://www.ncbi.nlm.nih.gov/protein/XP_010613946.1?report=genbank&amp;log$=prottop&amp;blast_rank=110&amp;RID=DNNRD06A013","XP_010613946.1")</f>
        <v>XP_010613946.1</v>
      </c>
      <c r="B346" s="45">
        <v>374</v>
      </c>
      <c r="C346" s="20" t="s">
        <v>521</v>
      </c>
      <c r="D346" s="21" t="s">
        <v>520</v>
      </c>
      <c r="E346" s="20">
        <v>387</v>
      </c>
      <c r="F346" s="20">
        <v>387</v>
      </c>
      <c r="G346" s="22">
        <v>1</v>
      </c>
      <c r="H346" s="23">
        <v>3E-131</v>
      </c>
      <c r="I346" s="20">
        <v>79.3</v>
      </c>
      <c r="J346" s="20"/>
    </row>
    <row r="347" spans="1:10" x14ac:dyDescent="0.2">
      <c r="A347" s="20" t="str">
        <f>HYPERLINK("https://www.ncbi.nlm.nih.gov/protein/XP_010613947.1?report=genbank&amp;log$=prottop&amp;blast_rank=127&amp;RID=DNNRD06A013","XP_010613947.1")</f>
        <v>XP_010613947.1</v>
      </c>
      <c r="B347" s="45">
        <v>354</v>
      </c>
      <c r="C347" s="20" t="s">
        <v>522</v>
      </c>
      <c r="D347" s="21" t="s">
        <v>520</v>
      </c>
      <c r="E347" s="20">
        <v>369</v>
      </c>
      <c r="F347" s="20">
        <v>369</v>
      </c>
      <c r="G347" s="22">
        <v>0.96</v>
      </c>
      <c r="H347" s="23">
        <v>3E-124</v>
      </c>
      <c r="I347" s="20">
        <v>79.14</v>
      </c>
      <c r="J347" s="20"/>
    </row>
    <row r="348" spans="1:10" x14ac:dyDescent="0.2">
      <c r="A348" s="20" t="str">
        <f>HYPERLINK("https://www.ncbi.nlm.nih.gov/protein/XP_003745182.1?report=genbank&amp;log$=prottop&amp;blast_rank=682&amp;RID=DNNRD06A013","XP_003745182.1")</f>
        <v>XP_003745182.1</v>
      </c>
      <c r="B348" s="45">
        <v>375</v>
      </c>
      <c r="C348" s="20" t="s">
        <v>523</v>
      </c>
      <c r="D348" s="21" t="s">
        <v>524</v>
      </c>
      <c r="E348" s="20">
        <v>74.7</v>
      </c>
      <c r="F348" s="20">
        <v>74.7</v>
      </c>
      <c r="G348" s="22">
        <v>0.48</v>
      </c>
      <c r="H348" s="23">
        <v>3E-11</v>
      </c>
      <c r="I348" s="20">
        <v>36.31</v>
      </c>
      <c r="J348" s="20"/>
    </row>
    <row r="349" spans="1:10" x14ac:dyDescent="0.2">
      <c r="A349" s="20" t="str">
        <f>HYPERLINK("https://www.ncbi.nlm.nih.gov/protein/XP_008575275.1?report=genbank&amp;log$=prottop&amp;blast_rank=233&amp;RID=DNNRD06A013","XP_008575275.1")</f>
        <v>XP_008575275.1</v>
      </c>
      <c r="B349" s="45">
        <v>236</v>
      </c>
      <c r="C349" s="20" t="s">
        <v>525</v>
      </c>
      <c r="D349" s="21" t="s">
        <v>526</v>
      </c>
      <c r="E349" s="20">
        <v>155</v>
      </c>
      <c r="F349" s="20">
        <v>155</v>
      </c>
      <c r="G349" s="22">
        <v>0.71</v>
      </c>
      <c r="H349" s="23">
        <v>3.0000000000000003E-42</v>
      </c>
      <c r="I349" s="20">
        <v>45.61</v>
      </c>
      <c r="J349" s="20"/>
    </row>
    <row r="350" spans="1:10" x14ac:dyDescent="0.2">
      <c r="A350" s="20" t="str">
        <f>HYPERLINK("https://www.ncbi.nlm.nih.gov/protein/XP_008563951.1?report=genbank&amp;log$=prottop&amp;blast_rank=42&amp;RID=DNNRD06A013","XP_008563951.1")</f>
        <v>XP_008563951.1</v>
      </c>
      <c r="B350" s="45">
        <v>314</v>
      </c>
      <c r="C350" s="20" t="s">
        <v>527</v>
      </c>
      <c r="D350" s="21" t="s">
        <v>526</v>
      </c>
      <c r="E350" s="20">
        <v>406</v>
      </c>
      <c r="F350" s="20">
        <v>406</v>
      </c>
      <c r="G350" s="22">
        <v>1</v>
      </c>
      <c r="H350" s="23">
        <v>2.0000000000000001E-139</v>
      </c>
      <c r="I350" s="20">
        <v>85.99</v>
      </c>
      <c r="J350" s="20"/>
    </row>
    <row r="351" spans="1:10" x14ac:dyDescent="0.2">
      <c r="A351" s="20" t="str">
        <f>HYPERLINK("https://www.ncbi.nlm.nih.gov/protein/XP_008572308.1?report=genbank&amp;log$=prottop&amp;blast_rank=186&amp;RID=DNNRD06A013","XP_008572308.1")</f>
        <v>XP_008572308.1</v>
      </c>
      <c r="B351" s="45">
        <v>281</v>
      </c>
      <c r="C351" s="20" t="s">
        <v>528</v>
      </c>
      <c r="D351" s="21" t="s">
        <v>526</v>
      </c>
      <c r="E351" s="20">
        <v>277</v>
      </c>
      <c r="F351" s="20">
        <v>277</v>
      </c>
      <c r="G351" s="22">
        <v>0.63</v>
      </c>
      <c r="H351" s="23">
        <v>2.9999999999999999E-89</v>
      </c>
      <c r="I351" s="20">
        <v>84</v>
      </c>
      <c r="J351" s="20"/>
    </row>
    <row r="352" spans="1:10" x14ac:dyDescent="0.2">
      <c r="A352" s="20" t="str">
        <f>HYPERLINK("https://www.ncbi.nlm.nih.gov/protein/XP_026764944.1?report=genbank&amp;log$=prottop&amp;blast_rank=584&amp;RID=DNNRD06A013","XP_026764944.1")</f>
        <v>XP_026764944.1</v>
      </c>
      <c r="B352" s="45">
        <v>269</v>
      </c>
      <c r="C352" s="20" t="s">
        <v>529</v>
      </c>
      <c r="D352" s="21" t="s">
        <v>530</v>
      </c>
      <c r="E352" s="20">
        <v>82.4</v>
      </c>
      <c r="F352" s="20">
        <v>82.4</v>
      </c>
      <c r="G352" s="22">
        <v>0.7</v>
      </c>
      <c r="H352" s="23">
        <v>2E-14</v>
      </c>
      <c r="I352" s="20">
        <v>28.26</v>
      </c>
      <c r="J352" s="20"/>
    </row>
    <row r="353" spans="1:10" x14ac:dyDescent="0.2">
      <c r="A353" s="20" t="str">
        <f>HYPERLINK("https://www.ncbi.nlm.nih.gov/protein/XP_026750742.1?report=genbank&amp;log$=prottop&amp;blast_rank=542&amp;RID=DNNRD06A013","XP_026750742.1")</f>
        <v>XP_026750742.1</v>
      </c>
      <c r="B353" s="45">
        <v>282</v>
      </c>
      <c r="C353" s="20" t="s">
        <v>531</v>
      </c>
      <c r="D353" s="21" t="s">
        <v>530</v>
      </c>
      <c r="E353" s="20">
        <v>90.9</v>
      </c>
      <c r="F353" s="20">
        <v>90.9</v>
      </c>
      <c r="G353" s="22">
        <v>0.7</v>
      </c>
      <c r="H353" s="23">
        <v>3.0000000000000001E-17</v>
      </c>
      <c r="I353" s="20">
        <v>26.88</v>
      </c>
      <c r="J353" s="20"/>
    </row>
    <row r="354" spans="1:10" x14ac:dyDescent="0.2">
      <c r="A354" s="20" t="str">
        <f>HYPERLINK("https://www.ncbi.nlm.nih.gov/protein/XP_026750741.1?report=genbank&amp;log$=prottop&amp;blast_rank=647&amp;RID=DNNRD06A013","XP_026750741.1")</f>
        <v>XP_026750741.1</v>
      </c>
      <c r="B354" s="45">
        <v>348</v>
      </c>
      <c r="C354" s="20" t="s">
        <v>532</v>
      </c>
      <c r="D354" s="21" t="s">
        <v>530</v>
      </c>
      <c r="E354" s="20">
        <v>77.400000000000006</v>
      </c>
      <c r="F354" s="20">
        <v>77.400000000000006</v>
      </c>
      <c r="G354" s="22">
        <v>0.49</v>
      </c>
      <c r="H354" s="23">
        <v>3.0000000000000001E-12</v>
      </c>
      <c r="I354" s="20">
        <v>33.119999999999997</v>
      </c>
      <c r="J354" s="20"/>
    </row>
    <row r="355" spans="1:10" x14ac:dyDescent="0.2">
      <c r="A355" s="20" t="str">
        <f>HYPERLINK("https://www.ncbi.nlm.nih.gov/protein/XP_015270962.1?report=genbank&amp;log$=prottop&amp;blast_rank=214&amp;RID=DNNRD06A013","XP_015270962.1")</f>
        <v>XP_015270962.1</v>
      </c>
      <c r="B355" s="45">
        <v>227</v>
      </c>
      <c r="C355" s="20" t="s">
        <v>533</v>
      </c>
      <c r="D355" s="21" t="s">
        <v>534</v>
      </c>
      <c r="E355" s="20">
        <v>160</v>
      </c>
      <c r="F355" s="20">
        <v>160</v>
      </c>
      <c r="G355" s="22">
        <v>0.71</v>
      </c>
      <c r="H355" s="23">
        <v>3.0000000000000002E-44</v>
      </c>
      <c r="I355" s="20">
        <v>44.69</v>
      </c>
      <c r="J355" s="20"/>
    </row>
    <row r="356" spans="1:10" x14ac:dyDescent="0.2">
      <c r="A356" s="20" t="str">
        <f>HYPERLINK("https://www.ncbi.nlm.nih.gov/protein/XP_015272743.1?report=genbank&amp;log$=prottop&amp;blast_rank=210&amp;RID=DNNRD06A013","XP_015272743.1")</f>
        <v>XP_015272743.1</v>
      </c>
      <c r="B356" s="45">
        <v>333</v>
      </c>
      <c r="C356" s="20" t="s">
        <v>535</v>
      </c>
      <c r="D356" s="21" t="s">
        <v>534</v>
      </c>
      <c r="E356" s="20">
        <v>182</v>
      </c>
      <c r="F356" s="20">
        <v>182</v>
      </c>
      <c r="G356" s="22">
        <v>0.72</v>
      </c>
      <c r="H356" s="23">
        <v>2E-51</v>
      </c>
      <c r="I356" s="20">
        <v>43.83</v>
      </c>
      <c r="J356" s="20"/>
    </row>
    <row r="357" spans="1:10" x14ac:dyDescent="0.2">
      <c r="A357" s="20" t="str">
        <f>HYPERLINK("https://www.ncbi.nlm.nih.gov/protein/XP_033777101.1?report=genbank&amp;log$=prottop&amp;blast_rank=309&amp;RID=DNNRD06A013","XP_033777101.1")</f>
        <v>XP_033777101.1</v>
      </c>
      <c r="B357" s="45">
        <v>269</v>
      </c>
      <c r="C357" s="20" t="s">
        <v>536</v>
      </c>
      <c r="D357" s="21" t="s">
        <v>537</v>
      </c>
      <c r="E357" s="20">
        <v>152</v>
      </c>
      <c r="F357" s="20">
        <v>152</v>
      </c>
      <c r="G357" s="22">
        <v>0.73</v>
      </c>
      <c r="H357" s="23">
        <v>9.9999999999999993E-41</v>
      </c>
      <c r="I357" s="20">
        <v>42.67</v>
      </c>
      <c r="J357" s="20"/>
    </row>
    <row r="358" spans="1:10" x14ac:dyDescent="0.2">
      <c r="A358" s="20" t="str">
        <f>HYPERLINK("https://www.ncbi.nlm.nih.gov/protein/XP_033782388.1?report=genbank&amp;log$=prottop&amp;blast_rank=199&amp;RID=DNNRD06A013","XP_033782388.1")</f>
        <v>XP_033782388.1</v>
      </c>
      <c r="B358" s="45">
        <v>334</v>
      </c>
      <c r="C358" s="20" t="s">
        <v>538</v>
      </c>
      <c r="D358" s="21" t="s">
        <v>537</v>
      </c>
      <c r="E358" s="20">
        <v>200</v>
      </c>
      <c r="F358" s="20">
        <v>200</v>
      </c>
      <c r="G358" s="22">
        <v>0.72</v>
      </c>
      <c r="H358" s="23">
        <v>2.0000000000000001E-58</v>
      </c>
      <c r="I358" s="20">
        <v>47.23</v>
      </c>
      <c r="J358" s="20"/>
    </row>
    <row r="359" spans="1:10" x14ac:dyDescent="0.2">
      <c r="A359" s="20" t="str">
        <f>HYPERLINK("https://www.ncbi.nlm.nih.gov/protein/XP_041370270.1?report=genbank&amp;log$=prottop&amp;blast_rank=500&amp;RID=DNNRD06A013","XP_041370270.1")</f>
        <v>XP_041370270.1</v>
      </c>
      <c r="B359" s="45">
        <v>212</v>
      </c>
      <c r="C359" s="20" t="s">
        <v>539</v>
      </c>
      <c r="D359" s="21" t="s">
        <v>540</v>
      </c>
      <c r="E359" s="20">
        <v>101</v>
      </c>
      <c r="F359" s="20">
        <v>101</v>
      </c>
      <c r="G359" s="22">
        <v>0.74</v>
      </c>
      <c r="H359" s="23">
        <v>7.0000000000000001E-22</v>
      </c>
      <c r="I359" s="20">
        <v>34.32</v>
      </c>
      <c r="J359" s="20"/>
    </row>
    <row r="360" spans="1:10" x14ac:dyDescent="0.2">
      <c r="A360" s="20" t="str">
        <f>HYPERLINK("https://www.ncbi.nlm.nih.gov/protein/XP_041369436.1?report=genbank&amp;log$=prottop&amp;blast_rank=443&amp;RID=DNNRD06A013","XP_041369436.1")</f>
        <v>XP_041369436.1</v>
      </c>
      <c r="B360" s="45">
        <v>215</v>
      </c>
      <c r="C360" s="20" t="s">
        <v>539</v>
      </c>
      <c r="D360" s="21" t="s">
        <v>540</v>
      </c>
      <c r="E360" s="20">
        <v>130</v>
      </c>
      <c r="F360" s="20">
        <v>130</v>
      </c>
      <c r="G360" s="22">
        <v>0.71</v>
      </c>
      <c r="H360" s="23">
        <v>8.0000000000000004E-33</v>
      </c>
      <c r="I360" s="20">
        <v>37.83</v>
      </c>
      <c r="J360" s="20"/>
    </row>
    <row r="361" spans="1:10" x14ac:dyDescent="0.2">
      <c r="A361" s="20" t="str">
        <f>HYPERLINK("https://www.ncbi.nlm.nih.gov/protein/XP_041371175.1?report=genbank&amp;log$=prottop&amp;blast_rank=590&amp;RID=DNNRD06A013","XP_041371175.1")</f>
        <v>XP_041371175.1</v>
      </c>
      <c r="B361" s="45">
        <v>648</v>
      </c>
      <c r="C361" s="20" t="s">
        <v>541</v>
      </c>
      <c r="D361" s="21" t="s">
        <v>540</v>
      </c>
      <c r="E361" s="20">
        <v>84.3</v>
      </c>
      <c r="F361" s="20">
        <v>149</v>
      </c>
      <c r="G361" s="22">
        <v>0.71</v>
      </c>
      <c r="H361" s="23">
        <v>4E-14</v>
      </c>
      <c r="I361" s="20">
        <v>33.33</v>
      </c>
      <c r="J361" s="20"/>
    </row>
    <row r="362" spans="1:10" x14ac:dyDescent="0.2">
      <c r="A362" s="20" t="str">
        <f>HYPERLINK("https://www.ncbi.nlm.nih.gov/protein/XP_030706233.1?report=genbank&amp;log$=prottop&amp;blast_rank=508&amp;RID=DNNRD06A013","XP_030706233.1")</f>
        <v>XP_030706233.1</v>
      </c>
      <c r="B362" s="45">
        <v>217</v>
      </c>
      <c r="C362" s="20" t="s">
        <v>542</v>
      </c>
      <c r="D362" s="21" t="s">
        <v>543</v>
      </c>
      <c r="E362" s="20">
        <v>99.8</v>
      </c>
      <c r="F362" s="20">
        <v>99.8</v>
      </c>
      <c r="G362" s="22">
        <v>0.7</v>
      </c>
      <c r="H362" s="23">
        <v>3.9999999999999996E-21</v>
      </c>
      <c r="I362" s="20">
        <v>36.89</v>
      </c>
      <c r="J362" s="20"/>
    </row>
    <row r="363" spans="1:10" x14ac:dyDescent="0.2">
      <c r="A363" s="20" t="str">
        <f>HYPERLINK("https://www.ncbi.nlm.nih.gov/protein/XP_037884145.1?report=genbank&amp;log$=prottop&amp;blast_rank=828&amp;RID=DNNRD06A013","XP_037884145.1")</f>
        <v>XP_037884145.1</v>
      </c>
      <c r="B363" s="45">
        <v>326</v>
      </c>
      <c r="C363" s="20" t="s">
        <v>544</v>
      </c>
      <c r="D363" s="21" t="s">
        <v>545</v>
      </c>
      <c r="E363" s="20">
        <v>57.8</v>
      </c>
      <c r="F363" s="20">
        <v>57.8</v>
      </c>
      <c r="G363" s="22">
        <v>0.5</v>
      </c>
      <c r="H363" s="23">
        <v>1.0000000000000001E-5</v>
      </c>
      <c r="I363" s="20">
        <v>34.29</v>
      </c>
      <c r="J363" s="20"/>
    </row>
    <row r="364" spans="1:10" x14ac:dyDescent="0.2">
      <c r="A364" s="20" t="str">
        <f>HYPERLINK("https://www.ncbi.nlm.nih.gov/protein/XP_037884146.1?report=genbank&amp;log$=prottop&amp;blast_rank=779&amp;RID=DNNRD06A013","XP_037884146.1")</f>
        <v>XP_037884146.1</v>
      </c>
      <c r="B364" s="45">
        <v>314</v>
      </c>
      <c r="C364" s="20" t="s">
        <v>546</v>
      </c>
      <c r="D364" s="21" t="s">
        <v>545</v>
      </c>
      <c r="E364" s="20">
        <v>61.2</v>
      </c>
      <c r="F364" s="20">
        <v>61.2</v>
      </c>
      <c r="G364" s="22">
        <v>0.5</v>
      </c>
      <c r="H364" s="23">
        <v>9.9999999999999995E-7</v>
      </c>
      <c r="I364" s="20">
        <v>36.590000000000003</v>
      </c>
      <c r="J364" s="20"/>
    </row>
    <row r="365" spans="1:10" x14ac:dyDescent="0.2">
      <c r="A365" s="20" t="str">
        <f>HYPERLINK("https://www.ncbi.nlm.nih.gov/protein/XP_030403074.1?report=genbank&amp;log$=prottop&amp;blast_rank=439&amp;RID=DNNRD06A013","XP_030403074.1")</f>
        <v>XP_030403074.1</v>
      </c>
      <c r="B365" s="45">
        <v>225</v>
      </c>
      <c r="C365" s="20" t="s">
        <v>547</v>
      </c>
      <c r="D365" s="21" t="s">
        <v>548</v>
      </c>
      <c r="E365" s="20">
        <v>134</v>
      </c>
      <c r="F365" s="20">
        <v>134</v>
      </c>
      <c r="G365" s="22">
        <v>0.72</v>
      </c>
      <c r="H365" s="23">
        <v>3.9999999999999997E-34</v>
      </c>
      <c r="I365" s="20">
        <v>41.23</v>
      </c>
      <c r="J365" s="20"/>
    </row>
    <row r="366" spans="1:10" x14ac:dyDescent="0.2">
      <c r="A366" s="20" t="str">
        <f>HYPERLINK("https://www.ncbi.nlm.nih.gov/protein/XP_018874715.1?report=genbank&amp;log$=prottop&amp;blast_rank=294&amp;RID=DNNRD06A013","XP_018874715.1")</f>
        <v>XP_018874715.1</v>
      </c>
      <c r="B366" s="45">
        <v>236</v>
      </c>
      <c r="C366" s="20" t="s">
        <v>549</v>
      </c>
      <c r="D366" s="21" t="s">
        <v>550</v>
      </c>
      <c r="E366" s="20">
        <v>152</v>
      </c>
      <c r="F366" s="20">
        <v>152</v>
      </c>
      <c r="G366" s="22">
        <v>0.7</v>
      </c>
      <c r="H366" s="23">
        <v>5.9999999999999998E-41</v>
      </c>
      <c r="I366" s="20">
        <v>46.02</v>
      </c>
      <c r="J366" s="20"/>
    </row>
    <row r="367" spans="1:10" x14ac:dyDescent="0.2">
      <c r="A367" s="20" t="str">
        <f>HYPERLINK("https://www.ncbi.nlm.nih.gov/protein/XP_030865682.1?report=genbank&amp;log$=prottop&amp;blast_rank=4&amp;RID=DNNRD06A013","XP_030865682.1")</f>
        <v>XP_030865682.1</v>
      </c>
      <c r="B367" s="45">
        <v>369</v>
      </c>
      <c r="C367" s="20" t="s">
        <v>551</v>
      </c>
      <c r="D367" s="21" t="s">
        <v>550</v>
      </c>
      <c r="E367" s="20">
        <v>470</v>
      </c>
      <c r="F367" s="20">
        <v>470</v>
      </c>
      <c r="G367" s="22">
        <v>1</v>
      </c>
      <c r="H367" s="23">
        <v>7.9999999999999997E-164</v>
      </c>
      <c r="I367" s="20">
        <v>98.09</v>
      </c>
      <c r="J367" s="20"/>
    </row>
    <row r="368" spans="1:10" x14ac:dyDescent="0.2">
      <c r="A368" s="20" t="str">
        <f>HYPERLINK("https://www.ncbi.nlm.nih.gov/protein/XP_044538919.1?report=genbank&amp;log$=prottop&amp;blast_rank=224&amp;RID=DNNRD06A013","XP_044538919.1")</f>
        <v>XP_044538919.1</v>
      </c>
      <c r="B368" s="45">
        <v>241</v>
      </c>
      <c r="C368" s="20" t="s">
        <v>552</v>
      </c>
      <c r="D368" s="21" t="s">
        <v>553</v>
      </c>
      <c r="E368" s="20">
        <v>158</v>
      </c>
      <c r="F368" s="20">
        <v>158</v>
      </c>
      <c r="G368" s="22">
        <v>0.7</v>
      </c>
      <c r="H368" s="23">
        <v>4.0000000000000003E-43</v>
      </c>
      <c r="I368" s="20">
        <v>43.11</v>
      </c>
      <c r="J368" s="20"/>
    </row>
    <row r="369" spans="1:10" x14ac:dyDescent="0.2">
      <c r="A369" s="20" t="str">
        <f>HYPERLINK("https://www.ncbi.nlm.nih.gov/protein/XP_044540438.1?report=genbank&amp;log$=prottop&amp;blast_rank=189&amp;RID=DNNRD06A013","XP_044540438.1")</f>
        <v>XP_044540438.1</v>
      </c>
      <c r="B369" s="45">
        <v>326</v>
      </c>
      <c r="C369" s="20" t="s">
        <v>554</v>
      </c>
      <c r="D369" s="21" t="s">
        <v>553</v>
      </c>
      <c r="E369" s="20">
        <v>276</v>
      </c>
      <c r="F369" s="20">
        <v>276</v>
      </c>
      <c r="G369" s="22">
        <v>0.75</v>
      </c>
      <c r="H369" s="23">
        <v>5.0000000000000001E-88</v>
      </c>
      <c r="I369" s="20">
        <v>66.67</v>
      </c>
      <c r="J369" s="20"/>
    </row>
    <row r="370" spans="1:10" x14ac:dyDescent="0.2">
      <c r="A370" s="20" t="str">
        <f>HYPERLINK("https://www.ncbi.nlm.nih.gov/protein/XP_028641118.1?report=genbank&amp;log$=prottop&amp;blast_rank=380&amp;RID=DNNRD06A013","XP_028641118.1")</f>
        <v>XP_028641118.1</v>
      </c>
      <c r="B370" s="45">
        <v>255</v>
      </c>
      <c r="C370" s="20" t="s">
        <v>555</v>
      </c>
      <c r="D370" s="21" t="s">
        <v>556</v>
      </c>
      <c r="E370" s="20">
        <v>148</v>
      </c>
      <c r="F370" s="20">
        <v>148</v>
      </c>
      <c r="G370" s="22">
        <v>0.7</v>
      </c>
      <c r="H370" s="23">
        <v>3.0000000000000003E-39</v>
      </c>
      <c r="I370" s="20">
        <v>44.25</v>
      </c>
      <c r="J370" s="20"/>
    </row>
    <row r="371" spans="1:10" x14ac:dyDescent="0.2">
      <c r="A371" s="20" t="str">
        <f>HYPERLINK("https://www.ncbi.nlm.nih.gov/protein/XP_028641121.1?report=genbank&amp;log$=prottop&amp;blast_rank=372&amp;RID=DNNRD06A013","XP_028641121.1")</f>
        <v>XP_028641121.1</v>
      </c>
      <c r="B371" s="45">
        <v>236</v>
      </c>
      <c r="C371" s="20" t="s">
        <v>557</v>
      </c>
      <c r="D371" s="21" t="s">
        <v>556</v>
      </c>
      <c r="E371" s="20">
        <v>148</v>
      </c>
      <c r="F371" s="20">
        <v>148</v>
      </c>
      <c r="G371" s="22">
        <v>0.7</v>
      </c>
      <c r="H371" s="23">
        <v>1.9999999999999999E-39</v>
      </c>
      <c r="I371" s="20">
        <v>44.25</v>
      </c>
      <c r="J371" s="20"/>
    </row>
    <row r="372" spans="1:10" x14ac:dyDescent="0.2">
      <c r="A372" s="20" t="str">
        <f>HYPERLINK("https://www.ncbi.nlm.nih.gov/protein/XP_028612526.1?report=genbank&amp;log$=prottop&amp;blast_rank=169&amp;RID=DNNRD06A013","XP_028612526.1")</f>
        <v>XP_028612526.1</v>
      </c>
      <c r="B372" s="45">
        <v>314</v>
      </c>
      <c r="C372" s="20" t="s">
        <v>558</v>
      </c>
      <c r="D372" s="21" t="s">
        <v>556</v>
      </c>
      <c r="E372" s="20">
        <v>335</v>
      </c>
      <c r="F372" s="20">
        <v>335</v>
      </c>
      <c r="G372" s="22">
        <v>1</v>
      </c>
      <c r="H372" s="23">
        <v>2.0000000000000002E-111</v>
      </c>
      <c r="I372" s="20">
        <v>71.97</v>
      </c>
      <c r="J372" s="20"/>
    </row>
    <row r="373" spans="1:10" x14ac:dyDescent="0.2">
      <c r="A373" s="20" t="str">
        <f>HYPERLINK("https://www.ncbi.nlm.nih.gov/protein/XP_017787836.1?report=genbank&amp;log$=prottop&amp;blast_rank=744&amp;RID=DNNRD06A013","XP_017787836.1")</f>
        <v>XP_017787836.1</v>
      </c>
      <c r="B373" s="45">
        <v>326</v>
      </c>
      <c r="C373" s="20" t="s">
        <v>559</v>
      </c>
      <c r="D373" s="21" t="s">
        <v>560</v>
      </c>
      <c r="E373" s="20">
        <v>67</v>
      </c>
      <c r="F373" s="20">
        <v>67</v>
      </c>
      <c r="G373" s="22">
        <v>0.52</v>
      </c>
      <c r="H373" s="23">
        <v>1E-8</v>
      </c>
      <c r="I373" s="20">
        <v>33.729999999999997</v>
      </c>
      <c r="J373" s="20"/>
    </row>
    <row r="374" spans="1:10" x14ac:dyDescent="0.2">
      <c r="A374" s="20" t="str">
        <f>HYPERLINK("https://www.ncbi.nlm.nih.gov/protein/XP_035949636.1?report=genbank&amp;log$=prottop&amp;blast_rank=284&amp;RID=DNNRD06A013","XP_035949636.1")</f>
        <v>XP_035949636.1</v>
      </c>
      <c r="B374" s="45">
        <v>236</v>
      </c>
      <c r="C374" s="20" t="s">
        <v>561</v>
      </c>
      <c r="D374" s="21" t="s">
        <v>562</v>
      </c>
      <c r="E374" s="20">
        <v>152</v>
      </c>
      <c r="F374" s="20">
        <v>152</v>
      </c>
      <c r="G374" s="22">
        <v>0.7</v>
      </c>
      <c r="H374" s="23">
        <v>4.9999999999999996E-41</v>
      </c>
      <c r="I374" s="20">
        <v>47.35</v>
      </c>
      <c r="J374" s="20"/>
    </row>
    <row r="375" spans="1:10" x14ac:dyDescent="0.2">
      <c r="A375" s="20" t="str">
        <f>HYPERLINK("https://www.ncbi.nlm.nih.gov/protein/XP_035935292.1?report=genbank&amp;log$=prottop&amp;blast_rank=168&amp;RID=DNNRD06A013","XP_035935292.1")</f>
        <v>XP_035935292.1</v>
      </c>
      <c r="B375" s="45">
        <v>349</v>
      </c>
      <c r="C375" s="20" t="s">
        <v>563</v>
      </c>
      <c r="D375" s="21" t="s">
        <v>562</v>
      </c>
      <c r="E375" s="20">
        <v>338</v>
      </c>
      <c r="F375" s="20">
        <v>338</v>
      </c>
      <c r="G375" s="22">
        <v>0.89</v>
      </c>
      <c r="H375" s="23">
        <v>1.9999999999999999E-112</v>
      </c>
      <c r="I375" s="20">
        <v>79.790000000000006</v>
      </c>
      <c r="J375" s="20"/>
    </row>
    <row r="376" spans="1:10" x14ac:dyDescent="0.2">
      <c r="A376" s="20" t="str">
        <f>HYPERLINK("https://www.ncbi.nlm.nih.gov/protein/XP_035935296.1?report=genbank&amp;log$=prottop&amp;blast_rank=47&amp;RID=DNNRD06A013","XP_035935296.1")</f>
        <v>XP_035935296.1</v>
      </c>
      <c r="B376" s="45">
        <v>314</v>
      </c>
      <c r="C376" s="20" t="s">
        <v>564</v>
      </c>
      <c r="D376" s="21" t="s">
        <v>562</v>
      </c>
      <c r="E376" s="20">
        <v>405</v>
      </c>
      <c r="F376" s="20">
        <v>405</v>
      </c>
      <c r="G376" s="22">
        <v>1</v>
      </c>
      <c r="H376" s="23">
        <v>4.0000000000000001E-139</v>
      </c>
      <c r="I376" s="20">
        <v>81.53</v>
      </c>
      <c r="J376" s="20"/>
    </row>
    <row r="377" spans="1:10" x14ac:dyDescent="0.2">
      <c r="A377" s="20" t="str">
        <f>HYPERLINK("https://www.ncbi.nlm.nih.gov/protein/XP_046552877.1?report=genbank&amp;log$=prottop&amp;blast_rank=435&amp;RID=DNNRD06A013","XP_046552877.1")</f>
        <v>XP_046552877.1</v>
      </c>
      <c r="B377" s="45">
        <v>246</v>
      </c>
      <c r="C377" s="20" t="s">
        <v>565</v>
      </c>
      <c r="D377" s="21" t="s">
        <v>566</v>
      </c>
      <c r="E377" s="20">
        <v>135</v>
      </c>
      <c r="F377" s="20">
        <v>135</v>
      </c>
      <c r="G377" s="22">
        <v>0.71</v>
      </c>
      <c r="H377" s="23">
        <v>1.9999999999999999E-34</v>
      </c>
      <c r="I377" s="20">
        <v>40.24</v>
      </c>
      <c r="J377" s="20"/>
    </row>
    <row r="378" spans="1:10" x14ac:dyDescent="0.2">
      <c r="A378" s="20" t="str">
        <f>HYPERLINK("https://www.ncbi.nlm.nih.gov/protein/XP_046573332.1?report=genbank&amp;log$=prottop&amp;blast_rank=434&amp;RID=DNNRD06A013","XP_046573332.1")</f>
        <v>XP_046573332.1</v>
      </c>
      <c r="B378" s="45">
        <v>246</v>
      </c>
      <c r="C378" s="20" t="s">
        <v>567</v>
      </c>
      <c r="D378" s="21" t="s">
        <v>566</v>
      </c>
      <c r="E378" s="20">
        <v>135</v>
      </c>
      <c r="F378" s="20">
        <v>135</v>
      </c>
      <c r="G378" s="22">
        <v>0.71</v>
      </c>
      <c r="H378" s="23">
        <v>1.9999999999999999E-34</v>
      </c>
      <c r="I378" s="20">
        <v>39.840000000000003</v>
      </c>
      <c r="J378" s="20"/>
    </row>
    <row r="379" spans="1:10" x14ac:dyDescent="0.2">
      <c r="A379" s="20" t="str">
        <f>HYPERLINK("https://www.ncbi.nlm.nih.gov/protein/XP_046581805.1?report=genbank&amp;log$=prottop&amp;blast_rank=525&amp;RID=DNNRD06A013","XP_046581805.1")</f>
        <v>XP_046581805.1</v>
      </c>
      <c r="B379" s="45">
        <v>392</v>
      </c>
      <c r="C379" s="20" t="s">
        <v>568</v>
      </c>
      <c r="D379" s="21" t="s">
        <v>566</v>
      </c>
      <c r="E379" s="20">
        <v>96.7</v>
      </c>
      <c r="F379" s="20">
        <v>96.7</v>
      </c>
      <c r="G379" s="22">
        <v>0.5</v>
      </c>
      <c r="H379" s="23">
        <v>9.0000000000000003E-19</v>
      </c>
      <c r="I379" s="20">
        <v>38.79</v>
      </c>
      <c r="J379" s="20"/>
    </row>
    <row r="380" spans="1:10" x14ac:dyDescent="0.2">
      <c r="A380" s="20" t="str">
        <f>HYPERLINK("https://www.ncbi.nlm.nih.gov/protein/XP_046362193.2?report=genbank&amp;log$=prottop&amp;blast_rank=528&amp;RID=DNNRD06A013","XP_046362193.2")</f>
        <v>XP_046362193.2</v>
      </c>
      <c r="B380" s="45">
        <v>828</v>
      </c>
      <c r="C380" s="20" t="s">
        <v>569</v>
      </c>
      <c r="D380" s="21" t="s">
        <v>570</v>
      </c>
      <c r="E380" s="20">
        <v>97.4</v>
      </c>
      <c r="F380" s="20">
        <v>162</v>
      </c>
      <c r="G380" s="22">
        <v>0.67</v>
      </c>
      <c r="H380" s="23">
        <v>2.0000000000000001E-18</v>
      </c>
      <c r="I380" s="20">
        <v>40.26</v>
      </c>
      <c r="J380" s="20"/>
    </row>
    <row r="381" spans="1:10" x14ac:dyDescent="0.2">
      <c r="A381" s="20" t="str">
        <f>HYPERLINK("https://www.ncbi.nlm.nih.gov/protein/XP_046360405.2?report=genbank&amp;log$=prottop&amp;blast_rank=429&amp;RID=DNNRD06A013","XP_046360405.2")</f>
        <v>XP_046360405.2</v>
      </c>
      <c r="B381" s="45">
        <v>243</v>
      </c>
      <c r="C381" s="20" t="s">
        <v>571</v>
      </c>
      <c r="D381" s="21" t="s">
        <v>570</v>
      </c>
      <c r="E381" s="20">
        <v>137</v>
      </c>
      <c r="F381" s="20">
        <v>137</v>
      </c>
      <c r="G381" s="22">
        <v>0.71</v>
      </c>
      <c r="H381" s="23">
        <v>5.9999999999999998E-35</v>
      </c>
      <c r="I381" s="20">
        <v>39.51</v>
      </c>
      <c r="J381" s="20"/>
    </row>
    <row r="382" spans="1:10" x14ac:dyDescent="0.2">
      <c r="A382" s="20" t="str">
        <f>HYPERLINK("https://www.ncbi.nlm.nih.gov/protein/XP_048245399.1?report=genbank&amp;log$=prottop&amp;blast_rank=482&amp;RID=DNNRD06A013","XP_048245399.1")</f>
        <v>XP_048245399.1</v>
      </c>
      <c r="B382" s="45">
        <v>231</v>
      </c>
      <c r="C382" s="20" t="s">
        <v>572</v>
      </c>
      <c r="D382" s="21" t="s">
        <v>570</v>
      </c>
      <c r="E382" s="20">
        <v>109</v>
      </c>
      <c r="F382" s="20">
        <v>109</v>
      </c>
      <c r="G382" s="22">
        <v>0.66</v>
      </c>
      <c r="H382" s="23">
        <v>1.9999999999999998E-24</v>
      </c>
      <c r="I382" s="20">
        <v>38.57</v>
      </c>
      <c r="J382" s="20"/>
    </row>
    <row r="383" spans="1:10" x14ac:dyDescent="0.2">
      <c r="A383" s="20" t="str">
        <f>HYPERLINK("https://www.ncbi.nlm.nih.gov/protein/XP_046362192.2?report=genbank&amp;log$=prottop&amp;blast_rank=484&amp;RID=DNNRD06A013","XP_046362192.2")</f>
        <v>XP_046362192.2</v>
      </c>
      <c r="B383" s="45">
        <v>210</v>
      </c>
      <c r="C383" s="20" t="s">
        <v>573</v>
      </c>
      <c r="D383" s="21" t="s">
        <v>570</v>
      </c>
      <c r="E383" s="20">
        <v>108</v>
      </c>
      <c r="F383" s="20">
        <v>108</v>
      </c>
      <c r="G383" s="22">
        <v>0.66</v>
      </c>
      <c r="H383" s="23">
        <v>1.9999999999999998E-24</v>
      </c>
      <c r="I383" s="20">
        <v>38.57</v>
      </c>
      <c r="J383" s="20"/>
    </row>
    <row r="384" spans="1:10" x14ac:dyDescent="0.2">
      <c r="A384" s="20" t="str">
        <f>HYPERLINK("https://www.ncbi.nlm.nih.gov/protein/XP_024218880.1?report=genbank&amp;log$=prottop&amp;blast_rank=562&amp;RID=DNNRD06A013","XP_024218880.1")</f>
        <v>XP_024218880.1</v>
      </c>
      <c r="B384" s="45">
        <v>309</v>
      </c>
      <c r="C384" s="20" t="s">
        <v>574</v>
      </c>
      <c r="D384" s="21" t="s">
        <v>575</v>
      </c>
      <c r="E384" s="20">
        <v>86.3</v>
      </c>
      <c r="F384" s="20">
        <v>86.3</v>
      </c>
      <c r="G384" s="22">
        <v>0.5</v>
      </c>
      <c r="H384" s="23">
        <v>2.0000000000000002E-15</v>
      </c>
      <c r="I384" s="20">
        <v>35.4</v>
      </c>
      <c r="J384" s="20"/>
    </row>
    <row r="385" spans="1:10" x14ac:dyDescent="0.2">
      <c r="A385" s="20" t="str">
        <f>HYPERLINK("https://www.ncbi.nlm.nih.gov/protein/XP_045470858.1?report=genbank&amp;log$=prottop&amp;blast_rank=472&amp;RID=DNNRD06A013","XP_045470858.1")</f>
        <v>XP_045470858.1</v>
      </c>
      <c r="B385" s="45">
        <v>240</v>
      </c>
      <c r="C385" s="20" t="s">
        <v>576</v>
      </c>
      <c r="D385" s="21" t="s">
        <v>577</v>
      </c>
      <c r="E385" s="20">
        <v>112</v>
      </c>
      <c r="F385" s="20">
        <v>112</v>
      </c>
      <c r="G385" s="22">
        <v>0.71</v>
      </c>
      <c r="H385" s="23">
        <v>1E-25</v>
      </c>
      <c r="I385" s="20">
        <v>32.380000000000003</v>
      </c>
      <c r="J385" s="20"/>
    </row>
    <row r="386" spans="1:10" x14ac:dyDescent="0.2">
      <c r="A386" s="20" t="str">
        <f>HYPERLINK("https://www.ncbi.nlm.nih.gov/protein/XP_045463130.1?report=genbank&amp;log$=prottop&amp;blast_rank=593&amp;RID=DNNRD06A013","XP_045463130.1")</f>
        <v>XP_045463130.1</v>
      </c>
      <c r="B386" s="45">
        <v>298</v>
      </c>
      <c r="C386" s="20" t="s">
        <v>578</v>
      </c>
      <c r="D386" s="21" t="s">
        <v>577</v>
      </c>
      <c r="E386" s="20">
        <v>82.4</v>
      </c>
      <c r="F386" s="20">
        <v>82.4</v>
      </c>
      <c r="G386" s="22">
        <v>0.53</v>
      </c>
      <c r="H386" s="23">
        <v>4E-14</v>
      </c>
      <c r="I386" s="20">
        <v>32.35</v>
      </c>
      <c r="J386" s="20"/>
    </row>
    <row r="387" spans="1:10" x14ac:dyDescent="0.2">
      <c r="A387" s="20" t="str">
        <f>HYPERLINK("https://www.ncbi.nlm.nih.gov/protein/XP_045463127.1?report=genbank&amp;log$=prottop&amp;blast_rank=634&amp;RID=DNNRD06A013","XP_045463127.1")</f>
        <v>XP_045463127.1</v>
      </c>
      <c r="B387" s="45">
        <v>336</v>
      </c>
      <c r="C387" s="20" t="s">
        <v>579</v>
      </c>
      <c r="D387" s="21" t="s">
        <v>577</v>
      </c>
      <c r="E387" s="20">
        <v>78.599999999999994</v>
      </c>
      <c r="F387" s="20">
        <v>78.599999999999994</v>
      </c>
      <c r="G387" s="22">
        <v>0.5</v>
      </c>
      <c r="H387" s="23">
        <v>9.9999999999999998E-13</v>
      </c>
      <c r="I387" s="20">
        <v>33.54</v>
      </c>
      <c r="J387" s="20"/>
    </row>
    <row r="388" spans="1:10" x14ac:dyDescent="0.2">
      <c r="A388" s="20" t="str">
        <f>HYPERLINK("https://www.ncbi.nlm.nih.gov/protein/XP_021193307.1?report=genbank&amp;log$=prottop&amp;blast_rank=832&amp;RID=DNNRD06A013","XP_021193307.1")</f>
        <v>XP_021193307.1</v>
      </c>
      <c r="B388" s="45">
        <v>273</v>
      </c>
      <c r="C388" s="20" t="s">
        <v>580</v>
      </c>
      <c r="D388" s="21" t="s">
        <v>581</v>
      </c>
      <c r="E388" s="20">
        <v>57.4</v>
      </c>
      <c r="F388" s="20">
        <v>57.4</v>
      </c>
      <c r="G388" s="22">
        <v>0.7</v>
      </c>
      <c r="H388" s="23">
        <v>1.0000000000000001E-5</v>
      </c>
      <c r="I388" s="20">
        <v>22.02</v>
      </c>
      <c r="J388" s="20"/>
    </row>
    <row r="389" spans="1:10" x14ac:dyDescent="0.2">
      <c r="A389" s="20" t="str">
        <f>HYPERLINK("https://www.ncbi.nlm.nih.gov/protein/XP_021183434.1?report=genbank&amp;log$=prottop&amp;blast_rank=650&amp;RID=DNNRD06A013","XP_021183434.1")</f>
        <v>XP_021183434.1</v>
      </c>
      <c r="B389" s="45">
        <v>324</v>
      </c>
      <c r="C389" s="20" t="s">
        <v>582</v>
      </c>
      <c r="D389" s="21" t="s">
        <v>581</v>
      </c>
      <c r="E389" s="20">
        <v>77</v>
      </c>
      <c r="F389" s="20">
        <v>77</v>
      </c>
      <c r="G389" s="22">
        <v>0.52</v>
      </c>
      <c r="H389" s="23">
        <v>3.9999999999999999E-12</v>
      </c>
      <c r="I389" s="20">
        <v>35.29</v>
      </c>
      <c r="J389" s="20"/>
    </row>
    <row r="390" spans="1:10" x14ac:dyDescent="0.2">
      <c r="A390" s="20" t="str">
        <f>HYPERLINK("https://www.ncbi.nlm.nih.gov/protein/XP_021188544.1?report=genbank&amp;log$=prottop&amp;blast_rank=716&amp;RID=DNNRD06A013","XP_021188544.1")</f>
        <v>XP_021188544.1</v>
      </c>
      <c r="B390" s="45">
        <v>334</v>
      </c>
      <c r="C390" s="20" t="s">
        <v>583</v>
      </c>
      <c r="D390" s="21" t="s">
        <v>581</v>
      </c>
      <c r="E390" s="20">
        <v>69.7</v>
      </c>
      <c r="F390" s="20">
        <v>69.7</v>
      </c>
      <c r="G390" s="22">
        <v>0.49</v>
      </c>
      <c r="H390" s="23">
        <v>1.0000000000000001E-9</v>
      </c>
      <c r="I390" s="20">
        <v>31.45</v>
      </c>
      <c r="J390" s="20"/>
    </row>
    <row r="391" spans="1:10" x14ac:dyDescent="0.2">
      <c r="A391" s="20" t="str">
        <f>HYPERLINK("https://www.ncbi.nlm.nih.gov/protein/XP_021193306.1?report=genbank&amp;log$=prottop&amp;blast_rank=850&amp;RID=DNNRD06A013","XP_021193306.1")</f>
        <v>XP_021193306.1</v>
      </c>
      <c r="B391" s="45">
        <v>279</v>
      </c>
      <c r="C391" s="20" t="s">
        <v>584</v>
      </c>
      <c r="D391" s="21" t="s">
        <v>581</v>
      </c>
      <c r="E391" s="20">
        <v>55.8</v>
      </c>
      <c r="F391" s="20">
        <v>55.8</v>
      </c>
      <c r="G391" s="22">
        <v>0.46</v>
      </c>
      <c r="H391" s="23">
        <v>4.0000000000000003E-5</v>
      </c>
      <c r="I391" s="20">
        <v>31.33</v>
      </c>
      <c r="J391" s="20"/>
    </row>
    <row r="392" spans="1:10" x14ac:dyDescent="0.2">
      <c r="A392" s="20" t="str">
        <f>HYPERLINK("https://www.ncbi.nlm.nih.gov/protein/XP_047019087.1?report=genbank&amp;log$=prottop&amp;blast_rank=869&amp;RID=DNNRD06A013","XP_047019087.1")</f>
        <v>XP_047019087.1</v>
      </c>
      <c r="B392" s="45">
        <v>240</v>
      </c>
      <c r="C392" s="20" t="s">
        <v>585</v>
      </c>
      <c r="D392" s="21" t="s">
        <v>586</v>
      </c>
      <c r="E392" s="20">
        <v>53.9</v>
      </c>
      <c r="F392" s="20">
        <v>53.9</v>
      </c>
      <c r="G392" s="22">
        <v>0.68</v>
      </c>
      <c r="H392" s="23">
        <v>2.0000000000000001E-4</v>
      </c>
      <c r="I392" s="20">
        <v>25.81</v>
      </c>
      <c r="J392" s="20"/>
    </row>
    <row r="393" spans="1:10" x14ac:dyDescent="0.2">
      <c r="A393" s="20" t="str">
        <f>HYPERLINK("https://www.ncbi.nlm.nih.gov/protein/XP_047026674.1?report=genbank&amp;log$=prottop&amp;blast_rank=787&amp;RID=DNNRD06A013","XP_047026674.1")</f>
        <v>XP_047026674.1</v>
      </c>
      <c r="B393" s="45">
        <v>258</v>
      </c>
      <c r="C393" s="20" t="s">
        <v>585</v>
      </c>
      <c r="D393" s="21" t="s">
        <v>586</v>
      </c>
      <c r="E393" s="20">
        <v>60.1</v>
      </c>
      <c r="F393" s="20">
        <v>60.1</v>
      </c>
      <c r="G393" s="22">
        <v>0.46</v>
      </c>
      <c r="H393" s="23">
        <v>9.9999999999999995E-7</v>
      </c>
      <c r="I393" s="20">
        <v>28.19</v>
      </c>
      <c r="J393" s="20"/>
    </row>
    <row r="394" spans="1:10" x14ac:dyDescent="0.2">
      <c r="A394" s="20" t="str">
        <f>HYPERLINK("https://www.ncbi.nlm.nih.gov/protein/XP_047019089.1?report=genbank&amp;log$=prottop&amp;blast_rank=741&amp;RID=DNNRD06A013","XP_047019089.1")</f>
        <v>XP_047019089.1</v>
      </c>
      <c r="B394" s="45">
        <v>237</v>
      </c>
      <c r="C394" s="20" t="s">
        <v>587</v>
      </c>
      <c r="D394" s="21" t="s">
        <v>586</v>
      </c>
      <c r="E394" s="20">
        <v>66.2</v>
      </c>
      <c r="F394" s="20">
        <v>66.2</v>
      </c>
      <c r="G394" s="22">
        <v>0.71</v>
      </c>
      <c r="H394" s="23">
        <v>1E-8</v>
      </c>
      <c r="I394" s="20">
        <v>22.8</v>
      </c>
      <c r="J394" s="20"/>
    </row>
    <row r="395" spans="1:10" x14ac:dyDescent="0.2">
      <c r="A395" s="20" t="str">
        <f>HYPERLINK("https://www.ncbi.nlm.nih.gov/protein/XP_047035366.1?report=genbank&amp;log$=prottop&amp;blast_rank=717&amp;RID=DNNRD06A013","XP_047035366.1")</f>
        <v>XP_047035366.1</v>
      </c>
      <c r="B395" s="45">
        <v>334</v>
      </c>
      <c r="C395" s="20" t="s">
        <v>588</v>
      </c>
      <c r="D395" s="21" t="s">
        <v>586</v>
      </c>
      <c r="E395" s="20">
        <v>69.7</v>
      </c>
      <c r="F395" s="20">
        <v>69.7</v>
      </c>
      <c r="G395" s="22">
        <v>0.49</v>
      </c>
      <c r="H395" s="23">
        <v>1.0000000000000001E-9</v>
      </c>
      <c r="I395" s="20">
        <v>31.45</v>
      </c>
      <c r="J395" s="20"/>
    </row>
    <row r="396" spans="1:10" x14ac:dyDescent="0.2">
      <c r="A396" s="20" t="str">
        <f>HYPERLINK("https://www.ncbi.nlm.nih.gov/protein/XP_047037637.1?report=genbank&amp;log$=prottop&amp;blast_rank=645&amp;RID=DNNRD06A013","XP_047037637.1")</f>
        <v>XP_047037637.1</v>
      </c>
      <c r="B396" s="45">
        <v>321</v>
      </c>
      <c r="C396" s="20" t="s">
        <v>589</v>
      </c>
      <c r="D396" s="21" t="s">
        <v>586</v>
      </c>
      <c r="E396" s="20">
        <v>77.400000000000006</v>
      </c>
      <c r="F396" s="20">
        <v>77.400000000000006</v>
      </c>
      <c r="G396" s="22">
        <v>0.52</v>
      </c>
      <c r="H396" s="23">
        <v>3.0000000000000001E-12</v>
      </c>
      <c r="I396" s="20">
        <v>34.71</v>
      </c>
      <c r="J396" s="20"/>
    </row>
    <row r="397" spans="1:10" x14ac:dyDescent="0.2">
      <c r="A397" s="20" t="str">
        <f>HYPERLINK("https://www.ncbi.nlm.nih.gov/protein/XP_009025820.1?report=genbank&amp;log$=prottop&amp;blast_rank=539&amp;RID=DNNRD06A013","XP_009025820.1")</f>
        <v>XP_009025820.1</v>
      </c>
      <c r="B397" s="45">
        <v>850</v>
      </c>
      <c r="C397" s="20" t="s">
        <v>590</v>
      </c>
      <c r="D397" s="21" t="s">
        <v>591</v>
      </c>
      <c r="E397" s="20">
        <v>94.7</v>
      </c>
      <c r="F397" s="20">
        <v>94.7</v>
      </c>
      <c r="G397" s="22">
        <v>0.49</v>
      </c>
      <c r="H397" s="23">
        <v>1.0000000000000001E-17</v>
      </c>
      <c r="I397" s="20">
        <v>39.49</v>
      </c>
      <c r="J397" s="20"/>
    </row>
    <row r="398" spans="1:10" x14ac:dyDescent="0.2">
      <c r="A398" s="20" t="str">
        <f>HYPERLINK("https://www.ncbi.nlm.nih.gov/protein/XP_037907318.1?report=genbank&amp;log$=prottop&amp;blast_rank=499&amp;RID=DNNRD06A013","XP_037907318.1")</f>
        <v>XP_037907318.1</v>
      </c>
      <c r="B398" s="45">
        <v>231</v>
      </c>
      <c r="C398" s="20" t="s">
        <v>592</v>
      </c>
      <c r="D398" s="21" t="s">
        <v>593</v>
      </c>
      <c r="E398" s="20">
        <v>103</v>
      </c>
      <c r="F398" s="20">
        <v>103</v>
      </c>
      <c r="G398" s="22">
        <v>0.72</v>
      </c>
      <c r="H398" s="23">
        <v>4.0000000000000002E-22</v>
      </c>
      <c r="I398" s="20">
        <v>31.44</v>
      </c>
      <c r="J398" s="20"/>
    </row>
    <row r="399" spans="1:10" x14ac:dyDescent="0.2">
      <c r="A399" s="20" t="str">
        <f>HYPERLINK("https://www.ncbi.nlm.nih.gov/protein/XP_037905856.1?report=genbank&amp;log$=prottop&amp;blast_rank=533&amp;RID=DNNRD06A013","XP_037905856.1")</f>
        <v>XP_037905856.1</v>
      </c>
      <c r="B399" s="45">
        <v>244</v>
      </c>
      <c r="C399" s="20" t="s">
        <v>592</v>
      </c>
      <c r="D399" s="21" t="s">
        <v>593</v>
      </c>
      <c r="E399" s="20">
        <v>92.4</v>
      </c>
      <c r="F399" s="20">
        <v>92.4</v>
      </c>
      <c r="G399" s="22">
        <v>0.73</v>
      </c>
      <c r="H399" s="23">
        <v>2.9999999999999998E-18</v>
      </c>
      <c r="I399" s="20">
        <v>29.76</v>
      </c>
      <c r="J399" s="20"/>
    </row>
    <row r="400" spans="1:10" x14ac:dyDescent="0.2">
      <c r="A400" s="20" t="str">
        <f>HYPERLINK("https://www.ncbi.nlm.nih.gov/protein/XP_037908236.1?report=genbank&amp;log$=prottop&amp;blast_rank=658&amp;RID=DNNRD06A013","XP_037908236.1")</f>
        <v>XP_037908236.1</v>
      </c>
      <c r="B400" s="45">
        <v>343</v>
      </c>
      <c r="C400" s="20" t="s">
        <v>594</v>
      </c>
      <c r="D400" s="21" t="s">
        <v>593</v>
      </c>
      <c r="E400" s="20">
        <v>76.599999999999994</v>
      </c>
      <c r="F400" s="20">
        <v>76.599999999999994</v>
      </c>
      <c r="G400" s="22">
        <v>0.49</v>
      </c>
      <c r="H400" s="23">
        <v>6.0000000000000003E-12</v>
      </c>
      <c r="I400" s="20">
        <v>33.76</v>
      </c>
      <c r="J400" s="20"/>
    </row>
    <row r="401" spans="1:10" x14ac:dyDescent="0.2">
      <c r="A401" s="20" t="str">
        <f>HYPERLINK("https://www.ncbi.nlm.nih.gov/protein/XP_037908401.1?report=genbank&amp;log$=prottop&amp;blast_rank=738&amp;RID=DNNRD06A013","XP_037908401.1")</f>
        <v>XP_037908401.1</v>
      </c>
      <c r="B401" s="45">
        <v>653</v>
      </c>
      <c r="C401" s="20" t="s">
        <v>595</v>
      </c>
      <c r="D401" s="21" t="s">
        <v>593</v>
      </c>
      <c r="E401" s="20">
        <v>68.2</v>
      </c>
      <c r="F401" s="20">
        <v>68.2</v>
      </c>
      <c r="G401" s="22">
        <v>0.49</v>
      </c>
      <c r="H401" s="23">
        <v>8.0000000000000005E-9</v>
      </c>
      <c r="I401" s="20">
        <v>28.48</v>
      </c>
      <c r="J401" s="20"/>
    </row>
    <row r="402" spans="1:10" x14ac:dyDescent="0.2">
      <c r="A402" s="20" t="str">
        <f>HYPERLINK("https://www.ncbi.nlm.nih.gov/protein/XP_037908402.1?report=genbank&amp;log$=prottop&amp;blast_rank=726&amp;RID=DNNRD06A013","XP_037908402.1")</f>
        <v>XP_037908402.1</v>
      </c>
      <c r="B402" s="45">
        <v>535</v>
      </c>
      <c r="C402" s="20" t="s">
        <v>596</v>
      </c>
      <c r="D402" s="21" t="s">
        <v>593</v>
      </c>
      <c r="E402" s="20">
        <v>68.900000000000006</v>
      </c>
      <c r="F402" s="20">
        <v>68.900000000000006</v>
      </c>
      <c r="G402" s="22">
        <v>0.49</v>
      </c>
      <c r="H402" s="23">
        <v>4.0000000000000002E-9</v>
      </c>
      <c r="I402" s="20">
        <v>28.48</v>
      </c>
      <c r="J402" s="20"/>
    </row>
    <row r="403" spans="1:10" x14ac:dyDescent="0.2">
      <c r="A403" s="20" t="str">
        <f>HYPERLINK("https://www.ncbi.nlm.nih.gov/protein/XP_004874976.1?report=genbank&amp;log$=prottop&amp;blast_rank=350&amp;RID=DNNRD06A013","XP_004874976.1")</f>
        <v>XP_004874976.1</v>
      </c>
      <c r="B403" s="45">
        <v>236</v>
      </c>
      <c r="C403" s="20" t="s">
        <v>597</v>
      </c>
      <c r="D403" s="21" t="s">
        <v>598</v>
      </c>
      <c r="E403" s="20">
        <v>150</v>
      </c>
      <c r="F403" s="20">
        <v>150</v>
      </c>
      <c r="G403" s="22">
        <v>0.71</v>
      </c>
      <c r="H403" s="23">
        <v>4.9999999999999996E-40</v>
      </c>
      <c r="I403" s="20">
        <v>45.37</v>
      </c>
      <c r="J403" s="20"/>
    </row>
    <row r="404" spans="1:10" x14ac:dyDescent="0.2">
      <c r="A404" s="20" t="str">
        <f>HYPERLINK("https://www.ncbi.nlm.nih.gov/protein/XP_004833998.1?report=genbank&amp;log$=prottop&amp;blast_rank=95&amp;RID=DNNRD06A013","XP_004833998.1")</f>
        <v>XP_004833998.1</v>
      </c>
      <c r="B404" s="45">
        <v>313</v>
      </c>
      <c r="C404" s="20" t="s">
        <v>599</v>
      </c>
      <c r="D404" s="21" t="s">
        <v>598</v>
      </c>
      <c r="E404" s="20">
        <v>391</v>
      </c>
      <c r="F404" s="20">
        <v>391</v>
      </c>
      <c r="G404" s="22">
        <v>1</v>
      </c>
      <c r="H404" s="23">
        <v>1.0000000000000001E-133</v>
      </c>
      <c r="I404" s="20">
        <v>78.98</v>
      </c>
      <c r="J404" s="20"/>
    </row>
    <row r="405" spans="1:10" x14ac:dyDescent="0.2">
      <c r="A405" s="20" t="str">
        <f>HYPERLINK("https://www.ncbi.nlm.nih.gov/protein/XP_019519853.1?report=genbank&amp;log$=prottop&amp;blast_rank=332&amp;RID=DNNRD06A013","XP_019519853.1")</f>
        <v>XP_019519853.1</v>
      </c>
      <c r="B405" s="45">
        <v>236</v>
      </c>
      <c r="C405" s="20" t="s">
        <v>600</v>
      </c>
      <c r="D405" s="21" t="s">
        <v>601</v>
      </c>
      <c r="E405" s="20">
        <v>150</v>
      </c>
      <c r="F405" s="20">
        <v>150</v>
      </c>
      <c r="G405" s="22">
        <v>0.7</v>
      </c>
      <c r="H405" s="23">
        <v>3.0000000000000002E-40</v>
      </c>
      <c r="I405" s="20">
        <v>46.02</v>
      </c>
      <c r="J405" s="20"/>
    </row>
    <row r="406" spans="1:10" x14ac:dyDescent="0.2">
      <c r="A406" s="20" t="str">
        <f>HYPERLINK("https://www.ncbi.nlm.nih.gov/protein/XP_019489941.1?report=genbank&amp;log$=prottop&amp;blast_rank=113&amp;RID=DNNRD06A013","XP_019489941.1")</f>
        <v>XP_019489941.1</v>
      </c>
      <c r="B406" s="45">
        <v>368</v>
      </c>
      <c r="C406" s="20" t="s">
        <v>602</v>
      </c>
      <c r="D406" s="21" t="s">
        <v>601</v>
      </c>
      <c r="E406" s="20">
        <v>386</v>
      </c>
      <c r="F406" s="20">
        <v>386</v>
      </c>
      <c r="G406" s="22">
        <v>1</v>
      </c>
      <c r="H406" s="23">
        <v>1.0000000000000001E-130</v>
      </c>
      <c r="I406" s="20">
        <v>80.569999999999993</v>
      </c>
      <c r="J406" s="20"/>
    </row>
    <row r="407" spans="1:10" x14ac:dyDescent="0.2">
      <c r="A407" s="20" t="str">
        <f>HYPERLINK("https://www.ncbi.nlm.nih.gov/protein/XP_019489946.1?report=genbank&amp;log$=prottop&amp;blast_rank=109&amp;RID=DNNRD06A013","XP_019489946.1")</f>
        <v>XP_019489946.1</v>
      </c>
      <c r="B407" s="45">
        <v>341</v>
      </c>
      <c r="C407" s="20" t="s">
        <v>603</v>
      </c>
      <c r="D407" s="21" t="s">
        <v>601</v>
      </c>
      <c r="E407" s="20">
        <v>386</v>
      </c>
      <c r="F407" s="20">
        <v>386</v>
      </c>
      <c r="G407" s="22">
        <v>1</v>
      </c>
      <c r="H407" s="23">
        <v>3E-131</v>
      </c>
      <c r="I407" s="20">
        <v>80.569999999999993</v>
      </c>
      <c r="J407" s="20"/>
    </row>
    <row r="408" spans="1:10" x14ac:dyDescent="0.2">
      <c r="A408" s="20" t="str">
        <f>HYPERLINK("https://www.ncbi.nlm.nih.gov/protein/XP_042216488.1?report=genbank&amp;log$=prottop&amp;blast_rank=548&amp;RID=DNNRD06A013","XP_042216488.1")</f>
        <v>XP_042216488.1</v>
      </c>
      <c r="B408" s="45">
        <v>441</v>
      </c>
      <c r="C408" s="20" t="s">
        <v>604</v>
      </c>
      <c r="D408" s="21" t="s">
        <v>605</v>
      </c>
      <c r="E408" s="20">
        <v>90.9</v>
      </c>
      <c r="F408" s="20">
        <v>90.9</v>
      </c>
      <c r="G408" s="22">
        <v>0.49</v>
      </c>
      <c r="H408" s="23">
        <v>9.9999999999999998E-17</v>
      </c>
      <c r="I408" s="20">
        <v>34.119999999999997</v>
      </c>
      <c r="J408" s="20"/>
    </row>
    <row r="409" spans="1:10" x14ac:dyDescent="0.2">
      <c r="A409" s="24" t="str">
        <f>HYPERLINK("https://www.ncbi.nlm.nih.gov/protein/NP_542432.2?report=genbank&amp;log$=prottop&amp;blast_rank=279&amp;RID=DNNRD06A013","NP_542432.2")</f>
        <v>NP_542432.2</v>
      </c>
      <c r="B409" s="46">
        <v>236</v>
      </c>
      <c r="C409" s="24" t="s">
        <v>606</v>
      </c>
      <c r="D409" s="25" t="s">
        <v>607</v>
      </c>
      <c r="E409" s="24">
        <v>152</v>
      </c>
      <c r="F409" s="24">
        <v>152</v>
      </c>
      <c r="G409" s="26">
        <v>0.7</v>
      </c>
      <c r="H409" s="27">
        <v>4E-41</v>
      </c>
      <c r="I409" s="24">
        <v>46.46</v>
      </c>
      <c r="J409" s="24" t="s">
        <v>608</v>
      </c>
    </row>
    <row r="410" spans="1:10" s="14" customFormat="1" x14ac:dyDescent="0.2">
      <c r="A410" s="28" t="s">
        <v>609</v>
      </c>
      <c r="B410" s="47">
        <v>369</v>
      </c>
      <c r="C410" s="28" t="s">
        <v>610</v>
      </c>
      <c r="D410" s="29" t="s">
        <v>607</v>
      </c>
      <c r="E410" s="28"/>
      <c r="F410" s="28"/>
      <c r="G410" s="28"/>
      <c r="H410" s="28"/>
      <c r="I410" s="28"/>
      <c r="J410" s="28" t="s">
        <v>611</v>
      </c>
    </row>
    <row r="411" spans="1:10" x14ac:dyDescent="0.2">
      <c r="A411" s="30" t="str">
        <f>HYPERLINK("https://www.ncbi.nlm.nih.gov/protein/NP_338599.1?report=genbank&amp;log$=prottop&amp;blast_rank=1&amp;RID=DNNRD06A013","NP_338599.1")</f>
        <v>NP_338599.1</v>
      </c>
      <c r="B411" s="48">
        <v>314</v>
      </c>
      <c r="C411" s="32" t="s">
        <v>612</v>
      </c>
      <c r="D411" s="33" t="s">
        <v>607</v>
      </c>
      <c r="E411" s="31">
        <v>479</v>
      </c>
      <c r="F411" s="31">
        <v>479</v>
      </c>
      <c r="G411" s="34">
        <v>1</v>
      </c>
      <c r="H411" s="35">
        <v>2.0000000000000001E-168</v>
      </c>
      <c r="I411" s="31">
        <v>100</v>
      </c>
      <c r="J411" s="32" t="s">
        <v>613</v>
      </c>
    </row>
    <row r="412" spans="1:10" x14ac:dyDescent="0.2">
      <c r="A412" s="28" t="str">
        <f>HYPERLINK("https://www.ncbi.nlm.nih.gov/protein/NP_009179.2?report=genbank&amp;log$=prottop&amp;blast_rank=8&amp;RID=DNNRD06A013","NP_009179.2")</f>
        <v>NP_009179.2</v>
      </c>
      <c r="B412" s="47">
        <v>304</v>
      </c>
      <c r="C412" s="28" t="s">
        <v>614</v>
      </c>
      <c r="D412" s="29" t="s">
        <v>607</v>
      </c>
      <c r="E412" s="28">
        <v>460</v>
      </c>
      <c r="F412" s="28">
        <v>460</v>
      </c>
      <c r="G412" s="36">
        <v>0.96</v>
      </c>
      <c r="H412" s="37">
        <v>8.0000000000000002E-161</v>
      </c>
      <c r="I412" s="28">
        <v>100</v>
      </c>
      <c r="J412" s="28" t="s">
        <v>615</v>
      </c>
    </row>
    <row r="413" spans="1:10" x14ac:dyDescent="0.2">
      <c r="A413" s="20" t="str">
        <f>HYPERLINK("https://www.ncbi.nlm.nih.gov/protein/XP_039075222.1?report=genbank&amp;log$=prottop&amp;blast_rank=325&amp;RID=DNNRD06A013","XP_039075222.1")</f>
        <v>XP_039075222.1</v>
      </c>
      <c r="B413" s="45">
        <v>236</v>
      </c>
      <c r="C413" s="20" t="s">
        <v>616</v>
      </c>
      <c r="D413" s="21" t="s">
        <v>617</v>
      </c>
      <c r="E413" s="20">
        <v>150</v>
      </c>
      <c r="F413" s="20">
        <v>150</v>
      </c>
      <c r="G413" s="22">
        <v>0.7</v>
      </c>
      <c r="H413" s="23">
        <v>1.9999999999999999E-40</v>
      </c>
      <c r="I413" s="20">
        <v>47.35</v>
      </c>
      <c r="J413" s="20"/>
    </row>
    <row r="414" spans="1:10" x14ac:dyDescent="0.2">
      <c r="A414" s="20" t="str">
        <f>HYPERLINK("https://www.ncbi.nlm.nih.gov/protein/XP_039084097.1?report=genbank&amp;log$=prottop&amp;blast_rank=101&amp;RID=DNNRD06A013","XP_039084097.1")</f>
        <v>XP_039084097.1</v>
      </c>
      <c r="B414" s="45">
        <v>314</v>
      </c>
      <c r="C414" s="20" t="s">
        <v>618</v>
      </c>
      <c r="D414" s="21" t="s">
        <v>617</v>
      </c>
      <c r="E414" s="20">
        <v>388</v>
      </c>
      <c r="F414" s="20">
        <v>388</v>
      </c>
      <c r="G414" s="22">
        <v>1</v>
      </c>
      <c r="H414" s="23">
        <v>3E-132</v>
      </c>
      <c r="I414" s="20">
        <v>80.89</v>
      </c>
      <c r="J414" s="20"/>
    </row>
    <row r="415" spans="1:10" x14ac:dyDescent="0.2">
      <c r="A415" s="20" t="str">
        <f>HYPERLINK("https://www.ncbi.nlm.nih.gov/protein/XP_039075220.1?report=genbank&amp;log$=prottop&amp;blast_rank=408&amp;RID=DNNRD06A013","XP_039075220.1")</f>
        <v>XP_039075220.1</v>
      </c>
      <c r="B415" s="45">
        <v>492</v>
      </c>
      <c r="C415" s="20" t="s">
        <v>619</v>
      </c>
      <c r="D415" s="21" t="s">
        <v>617</v>
      </c>
      <c r="E415" s="20">
        <v>150</v>
      </c>
      <c r="F415" s="20">
        <v>150</v>
      </c>
      <c r="G415" s="22">
        <v>0.7</v>
      </c>
      <c r="H415" s="23">
        <v>1.0000000000000001E-37</v>
      </c>
      <c r="I415" s="20">
        <v>47.35</v>
      </c>
      <c r="J415" s="20"/>
    </row>
    <row r="416" spans="1:10" x14ac:dyDescent="0.2">
      <c r="A416" s="20" t="str">
        <f>HYPERLINK("https://www.ncbi.nlm.nih.gov/protein/XP_018018450.1?report=genbank&amp;log$=prottop&amp;blast_rank=877&amp;RID=DNNRD06A013","XP_018018450.1")</f>
        <v>XP_018018450.1</v>
      </c>
      <c r="B416" s="45">
        <v>552</v>
      </c>
      <c r="C416" s="20" t="s">
        <v>620</v>
      </c>
      <c r="D416" s="21" t="s">
        <v>621</v>
      </c>
      <c r="E416" s="20">
        <v>52.8</v>
      </c>
      <c r="F416" s="20">
        <v>52.8</v>
      </c>
      <c r="G416" s="22">
        <v>0.32</v>
      </c>
      <c r="H416" s="23">
        <v>6.9999999999999999E-4</v>
      </c>
      <c r="I416" s="20">
        <v>30.77</v>
      </c>
      <c r="J416" s="20"/>
    </row>
    <row r="417" spans="1:10" x14ac:dyDescent="0.2">
      <c r="A417" s="20" t="str">
        <f>HYPERLINK("https://www.ncbi.nlm.nih.gov/protein/XP_032613823.1?report=genbank&amp;log$=prottop&amp;blast_rank=394&amp;RID=DNNRD06A013","XP_032613823.1")</f>
        <v>XP_032613823.1</v>
      </c>
      <c r="B417" s="45">
        <v>428</v>
      </c>
      <c r="C417" s="20" t="s">
        <v>622</v>
      </c>
      <c r="D417" s="21" t="s">
        <v>623</v>
      </c>
      <c r="E417" s="20">
        <v>150</v>
      </c>
      <c r="F417" s="20">
        <v>150</v>
      </c>
      <c r="G417" s="22">
        <v>0.7</v>
      </c>
      <c r="H417" s="23">
        <v>1.9999999999999999E-38</v>
      </c>
      <c r="I417" s="20">
        <v>46.02</v>
      </c>
      <c r="J417" s="20"/>
    </row>
    <row r="418" spans="1:10" x14ac:dyDescent="0.2">
      <c r="A418" s="20" t="str">
        <f>HYPERLINK("https://www.ncbi.nlm.nih.gov/protein/XP_032613824.1?report=genbank&amp;log$=prottop&amp;blast_rank=305&amp;RID=DNNRD06A013","XP_032613824.1")</f>
        <v>XP_032613824.1</v>
      </c>
      <c r="B418" s="45">
        <v>236</v>
      </c>
      <c r="C418" s="20" t="s">
        <v>624</v>
      </c>
      <c r="D418" s="21" t="s">
        <v>623</v>
      </c>
      <c r="E418" s="20">
        <v>152</v>
      </c>
      <c r="F418" s="20">
        <v>152</v>
      </c>
      <c r="G418" s="22">
        <v>0.7</v>
      </c>
      <c r="H418" s="23">
        <v>9.0000000000000002E-41</v>
      </c>
      <c r="I418" s="20">
        <v>46.02</v>
      </c>
      <c r="J418" s="20"/>
    </row>
    <row r="419" spans="1:10" x14ac:dyDescent="0.2">
      <c r="A419" s="20" t="str">
        <f>HYPERLINK("https://www.ncbi.nlm.nih.gov/protein/XP_032017557.1?report=genbank&amp;log$=prottop&amp;blast_rank=2&amp;RID=DNNRD06A013","XP_032017557.1")</f>
        <v>XP_032017557.1</v>
      </c>
      <c r="B419" s="45">
        <v>314</v>
      </c>
      <c r="C419" s="20" t="s">
        <v>625</v>
      </c>
      <c r="D419" s="21" t="s">
        <v>623</v>
      </c>
      <c r="E419" s="20">
        <v>469</v>
      </c>
      <c r="F419" s="20">
        <v>469</v>
      </c>
      <c r="G419" s="22">
        <v>1</v>
      </c>
      <c r="H419" s="23">
        <v>3.0000000000000001E-164</v>
      </c>
      <c r="I419" s="20">
        <v>98.09</v>
      </c>
      <c r="J419" s="20"/>
    </row>
    <row r="420" spans="1:10" x14ac:dyDescent="0.2">
      <c r="A420" s="20" t="str">
        <f>HYPERLINK("https://www.ncbi.nlm.nih.gov/protein/XP_026318254.1?report=genbank&amp;log$=prottop&amp;blast_rank=727&amp;RID=DNNRD06A013","XP_026318254.1")</f>
        <v>XP_026318254.1</v>
      </c>
      <c r="B420" s="45">
        <v>309</v>
      </c>
      <c r="C420" s="20" t="s">
        <v>626</v>
      </c>
      <c r="D420" s="21" t="s">
        <v>627</v>
      </c>
      <c r="E420" s="20">
        <v>67.8</v>
      </c>
      <c r="F420" s="20">
        <v>67.8</v>
      </c>
      <c r="G420" s="22">
        <v>0.46</v>
      </c>
      <c r="H420" s="23">
        <v>4.0000000000000002E-9</v>
      </c>
      <c r="I420" s="20">
        <v>34.21</v>
      </c>
      <c r="J420" s="20"/>
    </row>
    <row r="421" spans="1:10" x14ac:dyDescent="0.2">
      <c r="A421" s="20" t="str">
        <f>HYPERLINK("https://www.ncbi.nlm.nih.gov/protein/XP_026318310.1?report=genbank&amp;log$=prottop&amp;blast_rank=728&amp;RID=DNNRD06A013","XP_026318310.1")</f>
        <v>XP_026318310.1</v>
      </c>
      <c r="B421" s="45">
        <v>297</v>
      </c>
      <c r="C421" s="20" t="s">
        <v>628</v>
      </c>
      <c r="D421" s="21" t="s">
        <v>627</v>
      </c>
      <c r="E421" s="20">
        <v>67.8</v>
      </c>
      <c r="F421" s="20">
        <v>67.8</v>
      </c>
      <c r="G421" s="22">
        <v>0.5</v>
      </c>
      <c r="H421" s="23">
        <v>5.0000000000000001E-9</v>
      </c>
      <c r="I421" s="20">
        <v>34.380000000000003</v>
      </c>
      <c r="J421" s="20"/>
    </row>
    <row r="422" spans="1:10" x14ac:dyDescent="0.2">
      <c r="A422" s="20" t="str">
        <f>HYPERLINK("https://www.ncbi.nlm.nih.gov/protein/XP_005340646.1?report=genbank&amp;log$=prottop&amp;blast_rank=252&amp;RID=DNNRD06A013","XP_005340646.1")</f>
        <v>XP_005340646.1</v>
      </c>
      <c r="B422" s="45">
        <v>236</v>
      </c>
      <c r="C422" s="20" t="s">
        <v>629</v>
      </c>
      <c r="D422" s="21" t="s">
        <v>630</v>
      </c>
      <c r="E422" s="20">
        <v>154</v>
      </c>
      <c r="F422" s="20">
        <v>154</v>
      </c>
      <c r="G422" s="22">
        <v>0.71</v>
      </c>
      <c r="H422" s="23">
        <v>9.0000000000000002E-42</v>
      </c>
      <c r="I422" s="20">
        <v>45.81</v>
      </c>
      <c r="J422" s="20"/>
    </row>
    <row r="423" spans="1:10" x14ac:dyDescent="0.2">
      <c r="A423" s="20" t="str">
        <f>HYPERLINK("https://www.ncbi.nlm.nih.gov/protein/XP_021583100.1?report=genbank&amp;log$=prottop&amp;blast_rank=105&amp;RID=DNNRD06A013","XP_021583100.1")</f>
        <v>XP_021583100.1</v>
      </c>
      <c r="B423" s="45">
        <v>367</v>
      </c>
      <c r="C423" s="20" t="s">
        <v>631</v>
      </c>
      <c r="D423" s="21" t="s">
        <v>630</v>
      </c>
      <c r="E423" s="20">
        <v>389</v>
      </c>
      <c r="F423" s="20">
        <v>389</v>
      </c>
      <c r="G423" s="22">
        <v>0.97</v>
      </c>
      <c r="H423" s="23">
        <v>7.9999999999999999E-132</v>
      </c>
      <c r="I423" s="20">
        <v>82.62</v>
      </c>
      <c r="J423" s="20"/>
    </row>
    <row r="424" spans="1:10" x14ac:dyDescent="0.2">
      <c r="A424" s="20" t="str">
        <f>HYPERLINK("https://www.ncbi.nlm.nih.gov/protein/XP_005326927.1?report=genbank&amp;log$=prottop&amp;blast_rank=36&amp;RID=DNNRD06A013","XP_005326927.1")</f>
        <v>XP_005326927.1</v>
      </c>
      <c r="B424" s="45">
        <v>314</v>
      </c>
      <c r="C424" s="20" t="s">
        <v>632</v>
      </c>
      <c r="D424" s="21" t="s">
        <v>630</v>
      </c>
      <c r="E424" s="20">
        <v>410</v>
      </c>
      <c r="F424" s="20">
        <v>410</v>
      </c>
      <c r="G424" s="22">
        <v>1</v>
      </c>
      <c r="H424" s="23">
        <v>5.9999999999999997E-141</v>
      </c>
      <c r="I424" s="20">
        <v>83.44</v>
      </c>
      <c r="J424" s="20"/>
    </row>
    <row r="425" spans="1:10" x14ac:dyDescent="0.2">
      <c r="A425" s="20" t="str">
        <f>HYPERLINK("https://www.ncbi.nlm.nih.gov/protein/XP_046390382.1?report=genbank&amp;log$=prottop&amp;blast_rank=604&amp;RID=DNNRD06A013","XP_046390382.1")</f>
        <v>XP_046390382.1</v>
      </c>
      <c r="B425" s="45">
        <v>382</v>
      </c>
      <c r="C425" s="20" t="s">
        <v>633</v>
      </c>
      <c r="D425" s="21" t="s">
        <v>634</v>
      </c>
      <c r="E425" s="20">
        <v>82</v>
      </c>
      <c r="F425" s="20">
        <v>82</v>
      </c>
      <c r="G425" s="22">
        <v>0.56000000000000005</v>
      </c>
      <c r="H425" s="23">
        <v>1E-13</v>
      </c>
      <c r="I425" s="20">
        <v>33.700000000000003</v>
      </c>
      <c r="J425" s="20"/>
    </row>
    <row r="426" spans="1:10" x14ac:dyDescent="0.2">
      <c r="A426" s="20" t="str">
        <f>HYPERLINK("https://www.ncbi.nlm.nih.gov/protein/XP_029822995.3?report=genbank&amp;log$=prottop&amp;blast_rank=459&amp;RID=DNNRD06A013","XP_029822995.3")</f>
        <v>XP_029822995.3</v>
      </c>
      <c r="B426" s="45">
        <v>238</v>
      </c>
      <c r="C426" s="20" t="s">
        <v>635</v>
      </c>
      <c r="D426" s="21" t="s">
        <v>636</v>
      </c>
      <c r="E426" s="20">
        <v>122</v>
      </c>
      <c r="F426" s="20">
        <v>122</v>
      </c>
      <c r="G426" s="22">
        <v>0.73</v>
      </c>
      <c r="H426" s="23">
        <v>3.0000000000000003E-29</v>
      </c>
      <c r="I426" s="20">
        <v>35.86</v>
      </c>
      <c r="J426" s="20"/>
    </row>
    <row r="427" spans="1:10" x14ac:dyDescent="0.2">
      <c r="A427" s="20" t="str">
        <f>HYPERLINK("https://www.ncbi.nlm.nih.gov/protein/XP_042148577.1?report=genbank&amp;log$=prottop&amp;blast_rank=814&amp;RID=DNNRD06A013","XP_042148577.1")</f>
        <v>XP_042148577.1</v>
      </c>
      <c r="B427" s="45">
        <v>280</v>
      </c>
      <c r="C427" s="20" t="s">
        <v>635</v>
      </c>
      <c r="D427" s="21" t="s">
        <v>636</v>
      </c>
      <c r="E427" s="20">
        <v>58.5</v>
      </c>
      <c r="F427" s="20">
        <v>113</v>
      </c>
      <c r="G427" s="22">
        <v>0.66</v>
      </c>
      <c r="H427" s="23">
        <v>6.0000000000000002E-6</v>
      </c>
      <c r="I427" s="20">
        <v>34.270000000000003</v>
      </c>
      <c r="J427" s="20"/>
    </row>
    <row r="428" spans="1:10" x14ac:dyDescent="0.2">
      <c r="A428" s="20" t="str">
        <f>HYPERLINK("https://www.ncbi.nlm.nih.gov/protein/XP_029823007.2?report=genbank&amp;log$=prottop&amp;blast_rank=502&amp;RID=DNNRD06A013","XP_029823007.2")</f>
        <v>XP_029823007.2</v>
      </c>
      <c r="B428" s="45">
        <v>377</v>
      </c>
      <c r="C428" s="20" t="s">
        <v>637</v>
      </c>
      <c r="D428" s="21" t="s">
        <v>636</v>
      </c>
      <c r="E428" s="20">
        <v>104</v>
      </c>
      <c r="F428" s="20">
        <v>104</v>
      </c>
      <c r="G428" s="22">
        <v>0.67</v>
      </c>
      <c r="H428" s="23">
        <v>9.9999999999999991E-22</v>
      </c>
      <c r="I428" s="20">
        <v>36.869999999999997</v>
      </c>
      <c r="J428" s="20"/>
    </row>
    <row r="429" spans="1:10" x14ac:dyDescent="0.2">
      <c r="A429" s="20" t="str">
        <f>HYPERLINK("https://www.ncbi.nlm.nih.gov/protein/XP_040070831.1?report=genbank&amp;log$=prottop&amp;blast_rank=563&amp;RID=DNNRD06A013","XP_040070831.1")</f>
        <v>XP_040070831.1</v>
      </c>
      <c r="B429" s="45">
        <v>358</v>
      </c>
      <c r="C429" s="20" t="s">
        <v>638</v>
      </c>
      <c r="D429" s="21" t="s">
        <v>636</v>
      </c>
      <c r="E429" s="20">
        <v>86.7</v>
      </c>
      <c r="F429" s="20">
        <v>86.7</v>
      </c>
      <c r="G429" s="22">
        <v>0.64</v>
      </c>
      <c r="H429" s="23">
        <v>2.9999999999999998E-15</v>
      </c>
      <c r="I429" s="20">
        <v>33.82</v>
      </c>
      <c r="J429" s="20"/>
    </row>
    <row r="430" spans="1:10" x14ac:dyDescent="0.2">
      <c r="A430" s="20" t="str">
        <f>HYPERLINK("https://www.ncbi.nlm.nih.gov/protein/XP_040070832.1?report=genbank&amp;log$=prottop&amp;blast_rank=707&amp;RID=DNNRD06A013","XP_040070832.1")</f>
        <v>XP_040070832.1</v>
      </c>
      <c r="B430" s="45">
        <v>305</v>
      </c>
      <c r="C430" s="20" t="s">
        <v>639</v>
      </c>
      <c r="D430" s="21" t="s">
        <v>636</v>
      </c>
      <c r="E430" s="20">
        <v>71.2</v>
      </c>
      <c r="F430" s="20">
        <v>71.2</v>
      </c>
      <c r="G430" s="22">
        <v>0.33</v>
      </c>
      <c r="H430" s="23">
        <v>3E-10</v>
      </c>
      <c r="I430" s="20">
        <v>38.18</v>
      </c>
      <c r="J430" s="20"/>
    </row>
    <row r="431" spans="1:10" x14ac:dyDescent="0.2">
      <c r="A431" s="20" t="str">
        <f>HYPERLINK("https://www.ncbi.nlm.nih.gov/protein/XP_004672116.1?report=genbank&amp;log$=prottop&amp;blast_rank=260&amp;RID=DNNRD06A013","XP_004672116.1")</f>
        <v>XP_004672116.1</v>
      </c>
      <c r="B431" s="45">
        <v>236</v>
      </c>
      <c r="C431" s="20" t="s">
        <v>640</v>
      </c>
      <c r="D431" s="21" t="s">
        <v>641</v>
      </c>
      <c r="E431" s="20">
        <v>153</v>
      </c>
      <c r="F431" s="20">
        <v>153</v>
      </c>
      <c r="G431" s="22">
        <v>0.7</v>
      </c>
      <c r="H431" s="23">
        <v>2E-41</v>
      </c>
      <c r="I431" s="20">
        <v>45.58</v>
      </c>
      <c r="J431" s="20"/>
    </row>
    <row r="432" spans="1:10" x14ac:dyDescent="0.2">
      <c r="A432" s="20" t="str">
        <f>HYPERLINK("https://www.ncbi.nlm.nih.gov/protein/XP_004662083.1?report=genbank&amp;log$=prottop&amp;blast_rank=50&amp;RID=DNNRD06A013","XP_004662083.1")</f>
        <v>XP_004662083.1</v>
      </c>
      <c r="B432" s="45">
        <v>314</v>
      </c>
      <c r="C432" s="20" t="s">
        <v>642</v>
      </c>
      <c r="D432" s="21" t="s">
        <v>641</v>
      </c>
      <c r="E432" s="20">
        <v>405</v>
      </c>
      <c r="F432" s="20">
        <v>405</v>
      </c>
      <c r="G432" s="22">
        <v>1</v>
      </c>
      <c r="H432" s="23">
        <v>5.0000000000000003E-139</v>
      </c>
      <c r="I432" s="20">
        <v>81.849999999999994</v>
      </c>
      <c r="J432" s="20"/>
    </row>
    <row r="433" spans="1:10" x14ac:dyDescent="0.2">
      <c r="A433" s="20" t="str">
        <f>HYPERLINK("https://www.ncbi.nlm.nih.gov/protein/XP_033029832.1?report=genbank&amp;log$=prottop&amp;blast_rank=229&amp;RID=DNNRD06A013","XP_033029832.1")</f>
        <v>XP_033029832.1</v>
      </c>
      <c r="B433" s="45">
        <v>225</v>
      </c>
      <c r="C433" s="20" t="s">
        <v>643</v>
      </c>
      <c r="D433" s="21" t="s">
        <v>644</v>
      </c>
      <c r="E433" s="20">
        <v>156</v>
      </c>
      <c r="F433" s="20">
        <v>156</v>
      </c>
      <c r="G433" s="22">
        <v>0.72</v>
      </c>
      <c r="H433" s="23">
        <v>1E-42</v>
      </c>
      <c r="I433" s="20">
        <v>42.98</v>
      </c>
      <c r="J433" s="20"/>
    </row>
    <row r="434" spans="1:10" x14ac:dyDescent="0.2">
      <c r="A434" s="20" t="str">
        <f>HYPERLINK("https://www.ncbi.nlm.nih.gov/protein/XP_032996641.1?report=genbank&amp;log$=prottop&amp;blast_rank=203&amp;RID=DNNRD06A013","XP_032996641.1")</f>
        <v>XP_032996641.1</v>
      </c>
      <c r="B434" s="45">
        <v>333</v>
      </c>
      <c r="C434" s="20" t="s">
        <v>645</v>
      </c>
      <c r="D434" s="21" t="s">
        <v>644</v>
      </c>
      <c r="E434" s="20">
        <v>191</v>
      </c>
      <c r="F434" s="20">
        <v>191</v>
      </c>
      <c r="G434" s="22">
        <v>0.72</v>
      </c>
      <c r="H434" s="23">
        <v>7.0000000000000005E-55</v>
      </c>
      <c r="I434" s="20">
        <v>48.94</v>
      </c>
      <c r="J434" s="20"/>
    </row>
    <row r="435" spans="1:10" x14ac:dyDescent="0.2">
      <c r="A435" s="20" t="str">
        <f>HYPERLINK("https://www.ncbi.nlm.nih.gov/protein/XP_026953703.1?report=genbank&amp;log$=prottop&amp;blast_rank=490&amp;RID=DNNRD06A013","XP_026953703.1")</f>
        <v>XP_026953703.1</v>
      </c>
      <c r="B435" s="45">
        <v>218</v>
      </c>
      <c r="C435" s="20" t="s">
        <v>646</v>
      </c>
      <c r="D435" s="21" t="s">
        <v>647</v>
      </c>
      <c r="E435" s="20">
        <v>104</v>
      </c>
      <c r="F435" s="20">
        <v>104</v>
      </c>
      <c r="G435" s="22">
        <v>0.7</v>
      </c>
      <c r="H435" s="23">
        <v>6.0000000000000001E-23</v>
      </c>
      <c r="I435" s="20">
        <v>37.78</v>
      </c>
      <c r="J435" s="20"/>
    </row>
    <row r="436" spans="1:10" x14ac:dyDescent="0.2">
      <c r="A436" s="20" t="str">
        <f>HYPERLINK("https://www.ncbi.nlm.nih.gov/protein/XP_026954398.1?report=genbank&amp;log$=prottop&amp;blast_rank=37&amp;RID=DNNRD06A013","XP_026954398.1")</f>
        <v>XP_026954398.1</v>
      </c>
      <c r="B436" s="45">
        <v>314</v>
      </c>
      <c r="C436" s="20" t="s">
        <v>648</v>
      </c>
      <c r="D436" s="21" t="s">
        <v>647</v>
      </c>
      <c r="E436" s="20">
        <v>409</v>
      </c>
      <c r="F436" s="20">
        <v>409</v>
      </c>
      <c r="G436" s="22">
        <v>1</v>
      </c>
      <c r="H436" s="23">
        <v>8.0000000000000003E-141</v>
      </c>
      <c r="I436" s="20">
        <v>83.12</v>
      </c>
      <c r="J436" s="20"/>
    </row>
    <row r="437" spans="1:10" x14ac:dyDescent="0.2">
      <c r="A437" s="20" t="str">
        <f>HYPERLINK("https://www.ncbi.nlm.nih.gov/protein/XP_006014265.1?report=genbank&amp;log$=prottop&amp;blast_rank=421&amp;RID=DNNRD06A013","XP_006014265.1")</f>
        <v>XP_006014265.1</v>
      </c>
      <c r="B437" s="45">
        <v>242</v>
      </c>
      <c r="C437" s="20" t="s">
        <v>649</v>
      </c>
      <c r="D437" s="21" t="s">
        <v>650</v>
      </c>
      <c r="E437" s="20">
        <v>140</v>
      </c>
      <c r="F437" s="20">
        <v>140</v>
      </c>
      <c r="G437" s="22">
        <v>0.71</v>
      </c>
      <c r="H437" s="23">
        <v>3.9999999999999998E-36</v>
      </c>
      <c r="I437" s="20">
        <v>40</v>
      </c>
      <c r="J437" s="20"/>
    </row>
    <row r="438" spans="1:10" x14ac:dyDescent="0.2">
      <c r="A438" s="20" t="str">
        <f>HYPERLINK("https://www.ncbi.nlm.nih.gov/protein/XP_048001004.1?report=genbank&amp;log$=prottop&amp;blast_rank=743&amp;RID=DNNRD06A013","XP_048001004.1")</f>
        <v>XP_048001004.1</v>
      </c>
      <c r="B438" s="45">
        <v>300</v>
      </c>
      <c r="C438" s="20" t="s">
        <v>651</v>
      </c>
      <c r="D438" s="21" t="s">
        <v>652</v>
      </c>
      <c r="E438" s="20">
        <v>66.599999999999994</v>
      </c>
      <c r="F438" s="20">
        <v>66.599999999999994</v>
      </c>
      <c r="G438" s="22">
        <v>0.49</v>
      </c>
      <c r="H438" s="23">
        <v>1E-8</v>
      </c>
      <c r="I438" s="20">
        <v>33.75</v>
      </c>
      <c r="J438" s="20"/>
    </row>
    <row r="439" spans="1:10" x14ac:dyDescent="0.2">
      <c r="A439" s="20" t="str">
        <f>HYPERLINK("https://www.ncbi.nlm.nih.gov/protein/XP_047993154.1?report=genbank&amp;log$=prottop&amp;blast_rank=773&amp;RID=DNNRD06A013","XP_047993154.1")</f>
        <v>XP_047993154.1</v>
      </c>
      <c r="B439" s="45">
        <v>216</v>
      </c>
      <c r="C439" s="20" t="s">
        <v>653</v>
      </c>
      <c r="D439" s="21" t="s">
        <v>652</v>
      </c>
      <c r="E439" s="20">
        <v>60.8</v>
      </c>
      <c r="F439" s="20">
        <v>60.8</v>
      </c>
      <c r="G439" s="22">
        <v>0.7</v>
      </c>
      <c r="H439" s="23">
        <v>4.9999999999999998E-7</v>
      </c>
      <c r="I439" s="20">
        <v>24.05</v>
      </c>
      <c r="J439" s="20"/>
    </row>
    <row r="440" spans="1:10" x14ac:dyDescent="0.2">
      <c r="A440" s="20" t="str">
        <f>HYPERLINK("https://www.ncbi.nlm.nih.gov/protein/XP_048000887.1?report=genbank&amp;log$=prottop&amp;blast_rank=501&amp;RID=DNNRD06A013","XP_048000887.1")</f>
        <v>XP_048000887.1</v>
      </c>
      <c r="B440" s="45">
        <v>278</v>
      </c>
      <c r="C440" s="20" t="s">
        <v>653</v>
      </c>
      <c r="D440" s="21" t="s">
        <v>652</v>
      </c>
      <c r="E440" s="20">
        <v>102</v>
      </c>
      <c r="F440" s="20">
        <v>102</v>
      </c>
      <c r="G440" s="22">
        <v>0.71</v>
      </c>
      <c r="H440" s="23">
        <v>9.9999999999999991E-22</v>
      </c>
      <c r="I440" s="20">
        <v>28.93</v>
      </c>
      <c r="J440" s="20"/>
    </row>
    <row r="441" spans="1:10" x14ac:dyDescent="0.2">
      <c r="A441" s="20" t="str">
        <f>HYPERLINK("https://www.ncbi.nlm.nih.gov/protein/XP_045394120.1?report=genbank&amp;log$=prottop&amp;blast_rank=353&amp;RID=DNNRD06A013","XP_045394120.1")</f>
        <v>XP_045394120.1</v>
      </c>
      <c r="B441" s="45">
        <v>236</v>
      </c>
      <c r="C441" s="20" t="s">
        <v>654</v>
      </c>
      <c r="D441" s="21" t="s">
        <v>655</v>
      </c>
      <c r="E441" s="20">
        <v>149</v>
      </c>
      <c r="F441" s="20">
        <v>149</v>
      </c>
      <c r="G441" s="22">
        <v>0.7</v>
      </c>
      <c r="H441" s="23">
        <v>6.0000000000000004E-40</v>
      </c>
      <c r="I441" s="20">
        <v>45.13</v>
      </c>
      <c r="J441" s="20"/>
    </row>
    <row r="442" spans="1:10" x14ac:dyDescent="0.2">
      <c r="A442" s="20" t="str">
        <f>HYPERLINK("https://www.ncbi.nlm.nih.gov/protein/XP_045386284.1?report=genbank&amp;log$=prottop&amp;blast_rank=40&amp;RID=DNNRD06A013","XP_045386284.1")</f>
        <v>XP_045386284.1</v>
      </c>
      <c r="B442" s="45">
        <v>314</v>
      </c>
      <c r="C442" s="20" t="s">
        <v>656</v>
      </c>
      <c r="D442" s="21" t="s">
        <v>655</v>
      </c>
      <c r="E442" s="20">
        <v>407</v>
      </c>
      <c r="F442" s="20">
        <v>407</v>
      </c>
      <c r="G442" s="22">
        <v>1</v>
      </c>
      <c r="H442" s="23">
        <v>3.9999999999999999E-140</v>
      </c>
      <c r="I442" s="20">
        <v>86.94</v>
      </c>
      <c r="J442" s="20"/>
    </row>
    <row r="443" spans="1:10" x14ac:dyDescent="0.2">
      <c r="A443" s="20" t="str">
        <f>HYPERLINK("https://www.ncbi.nlm.nih.gov/protein/XP_045348781.1?report=genbank&amp;log$=prottop&amp;blast_rank=74&amp;RID=DNNRD06A013","XP_045348781.1")</f>
        <v>XP_045348781.1</v>
      </c>
      <c r="B443" s="45">
        <v>314</v>
      </c>
      <c r="C443" s="20" t="s">
        <v>657</v>
      </c>
      <c r="D443" s="21" t="s">
        <v>658</v>
      </c>
      <c r="E443" s="20">
        <v>399</v>
      </c>
      <c r="F443" s="20">
        <v>399</v>
      </c>
      <c r="G443" s="22">
        <v>1</v>
      </c>
      <c r="H443" s="23">
        <v>1E-136</v>
      </c>
      <c r="I443" s="20">
        <v>80.569999999999993</v>
      </c>
      <c r="J443" s="20"/>
    </row>
    <row r="444" spans="1:10" x14ac:dyDescent="0.2">
      <c r="A444" s="20" t="str">
        <f>HYPERLINK("https://www.ncbi.nlm.nih.gov/protein/XP_006625467.1?report=genbank&amp;log$=prottop&amp;blast_rank=428&amp;RID=DNNRD06A013","XP_006625467.1")</f>
        <v>XP_006625467.1</v>
      </c>
      <c r="B444" s="45">
        <v>244</v>
      </c>
      <c r="C444" s="20" t="s">
        <v>659</v>
      </c>
      <c r="D444" s="21" t="s">
        <v>660</v>
      </c>
      <c r="E444" s="20">
        <v>137</v>
      </c>
      <c r="F444" s="20">
        <v>137</v>
      </c>
      <c r="G444" s="22">
        <v>0.71</v>
      </c>
      <c r="H444" s="23">
        <v>4E-35</v>
      </c>
      <c r="I444" s="20">
        <v>44.84</v>
      </c>
      <c r="J444" s="20"/>
    </row>
    <row r="445" spans="1:10" x14ac:dyDescent="0.2">
      <c r="A445" s="20" t="str">
        <f>HYPERLINK("https://www.ncbi.nlm.nih.gov/protein/XP_023018586.1?report=genbank&amp;log$=prottop&amp;blast_rank=622&amp;RID=DNNRD06A013","XP_023018586.1")</f>
        <v>XP_023018586.1</v>
      </c>
      <c r="B445" s="45">
        <v>301</v>
      </c>
      <c r="C445" s="20" t="s">
        <v>661</v>
      </c>
      <c r="D445" s="21" t="s">
        <v>662</v>
      </c>
      <c r="E445" s="20">
        <v>79.3</v>
      </c>
      <c r="F445" s="20">
        <v>79.3</v>
      </c>
      <c r="G445" s="22">
        <v>0.5</v>
      </c>
      <c r="H445" s="23">
        <v>4.9999999999999999E-13</v>
      </c>
      <c r="I445" s="20">
        <v>33.74</v>
      </c>
      <c r="J445" s="20"/>
    </row>
    <row r="446" spans="1:10" x14ac:dyDescent="0.2">
      <c r="A446" s="20" t="str">
        <f>HYPERLINK("https://www.ncbi.nlm.nih.gov/protein/XP_023020504.1?report=genbank&amp;log$=prottop&amp;blast_rank=506&amp;RID=DNNRD06A013","XP_023020504.1")</f>
        <v>XP_023020504.1</v>
      </c>
      <c r="B446" s="45">
        <v>224</v>
      </c>
      <c r="C446" s="20" t="s">
        <v>663</v>
      </c>
      <c r="D446" s="21" t="s">
        <v>662</v>
      </c>
      <c r="E446" s="20">
        <v>100</v>
      </c>
      <c r="F446" s="20">
        <v>100</v>
      </c>
      <c r="G446" s="22">
        <v>0.68</v>
      </c>
      <c r="H446" s="23">
        <v>1.9999999999999998E-21</v>
      </c>
      <c r="I446" s="20">
        <v>29.73</v>
      </c>
      <c r="J446" s="20"/>
    </row>
    <row r="447" spans="1:10" x14ac:dyDescent="0.2">
      <c r="A447" s="20" t="str">
        <f>HYPERLINK("https://www.ncbi.nlm.nih.gov/protein/XP_030891593.1?report=genbank&amp;log$=prottop&amp;blast_rank=340&amp;RID=DNNRD06A013","XP_030891593.1")</f>
        <v>XP_030891593.1</v>
      </c>
      <c r="B447" s="45">
        <v>269</v>
      </c>
      <c r="C447" s="20" t="s">
        <v>664</v>
      </c>
      <c r="D447" s="21" t="s">
        <v>665</v>
      </c>
      <c r="E447" s="20">
        <v>151</v>
      </c>
      <c r="F447" s="20">
        <v>151</v>
      </c>
      <c r="G447" s="22">
        <v>0.7</v>
      </c>
      <c r="H447" s="23">
        <v>3.9999999999999997E-40</v>
      </c>
      <c r="I447" s="20">
        <v>47.35</v>
      </c>
      <c r="J447" s="20"/>
    </row>
    <row r="448" spans="1:10" x14ac:dyDescent="0.2">
      <c r="A448" s="20" t="str">
        <f>HYPERLINK("https://www.ncbi.nlm.nih.gov/protein/XP_006750724.1?report=genbank&amp;log$=prottop&amp;blast_rank=61&amp;RID=DNNRD06A013","XP_006750724.1")</f>
        <v>XP_006750724.1</v>
      </c>
      <c r="B448" s="45">
        <v>314</v>
      </c>
      <c r="C448" s="20" t="s">
        <v>666</v>
      </c>
      <c r="D448" s="21" t="s">
        <v>665</v>
      </c>
      <c r="E448" s="20">
        <v>402</v>
      </c>
      <c r="F448" s="20">
        <v>402</v>
      </c>
      <c r="G448" s="22">
        <v>1</v>
      </c>
      <c r="H448" s="23">
        <v>4.9999999999999999E-138</v>
      </c>
      <c r="I448" s="20">
        <v>80.89</v>
      </c>
      <c r="J448" s="20"/>
    </row>
    <row r="449" spans="1:10" x14ac:dyDescent="0.2">
      <c r="A449" s="20" t="str">
        <f>HYPERLINK("https://www.ncbi.nlm.nih.gov/protein/XP_013772037.1?report=genbank&amp;log$=prottop&amp;blast_rank=531&amp;RID=DNNRD06A013","XP_013772037.1")</f>
        <v>XP_013772037.1</v>
      </c>
      <c r="B449" s="45">
        <v>423</v>
      </c>
      <c r="C449" s="20" t="s">
        <v>667</v>
      </c>
      <c r="D449" s="21" t="s">
        <v>668</v>
      </c>
      <c r="E449" s="20">
        <v>95.9</v>
      </c>
      <c r="F449" s="20">
        <v>95.9</v>
      </c>
      <c r="G449" s="22">
        <v>0.48</v>
      </c>
      <c r="H449" s="23">
        <v>2.0000000000000001E-18</v>
      </c>
      <c r="I449" s="20">
        <v>41.03</v>
      </c>
      <c r="J449" s="20"/>
    </row>
    <row r="450" spans="1:10" x14ac:dyDescent="0.2">
      <c r="A450" s="20" t="str">
        <f>HYPERLINK("https://www.ncbi.nlm.nih.gov/protein/XP_012222385.1?report=genbank&amp;log$=prottop&amp;blast_rank=791&amp;RID=DNNRD06A013","XP_012222385.1")</f>
        <v>XP_012222385.1</v>
      </c>
      <c r="B450" s="45">
        <v>326</v>
      </c>
      <c r="C450" s="20" t="s">
        <v>669</v>
      </c>
      <c r="D450" s="21" t="s">
        <v>670</v>
      </c>
      <c r="E450" s="20">
        <v>60.1</v>
      </c>
      <c r="F450" s="20">
        <v>60.1</v>
      </c>
      <c r="G450" s="22">
        <v>0.46</v>
      </c>
      <c r="H450" s="23">
        <v>1.9999999999999999E-6</v>
      </c>
      <c r="I450" s="20">
        <v>31.76</v>
      </c>
      <c r="J450" s="20"/>
    </row>
    <row r="451" spans="1:10" x14ac:dyDescent="0.2">
      <c r="A451" s="20" t="str">
        <f>HYPERLINK("https://www.ncbi.nlm.nih.gov/protein/XP_023929932.1?report=genbank&amp;log$=prottop&amp;blast_rank=674&amp;RID=DNNRD06A013","XP_023929932.1")</f>
        <v>XP_023929932.1</v>
      </c>
      <c r="B451" s="45">
        <v>454</v>
      </c>
      <c r="C451" s="20" t="s">
        <v>671</v>
      </c>
      <c r="D451" s="21" t="s">
        <v>672</v>
      </c>
      <c r="E451" s="20">
        <v>75.900000000000006</v>
      </c>
      <c r="F451" s="20">
        <v>125</v>
      </c>
      <c r="G451" s="22">
        <v>0.74</v>
      </c>
      <c r="H451" s="23">
        <v>1.9999999999999999E-11</v>
      </c>
      <c r="I451" s="20">
        <v>35.369999999999997</v>
      </c>
      <c r="J451" s="20"/>
    </row>
    <row r="452" spans="1:10" x14ac:dyDescent="0.2">
      <c r="A452" s="20" t="str">
        <f>HYPERLINK("https://www.ncbi.nlm.nih.gov/protein/XP_013412705.1?report=genbank&amp;log$=prottop&amp;blast_rank=672&amp;RID=DNNRD06A013","XP_013412705.1")</f>
        <v>XP_013412705.1</v>
      </c>
      <c r="B452" s="45">
        <v>448</v>
      </c>
      <c r="C452" s="20" t="s">
        <v>673</v>
      </c>
      <c r="D452" s="21" t="s">
        <v>672</v>
      </c>
      <c r="E452" s="20">
        <v>75.900000000000006</v>
      </c>
      <c r="F452" s="20">
        <v>125</v>
      </c>
      <c r="G452" s="22">
        <v>0.74</v>
      </c>
      <c r="H452" s="23">
        <v>1.9999999999999999E-11</v>
      </c>
      <c r="I452" s="20">
        <v>35.369999999999997</v>
      </c>
      <c r="J452" s="20"/>
    </row>
    <row r="453" spans="1:10" x14ac:dyDescent="0.2">
      <c r="A453" s="20" t="str">
        <f>HYPERLINK("https://www.ncbi.nlm.nih.gov/protein/XP_007472252.1?report=genbank&amp;log$=prottop&amp;blast_rank=48&amp;RID=DNNRD06A013","XP_007472252.1")</f>
        <v>XP_007472252.1</v>
      </c>
      <c r="B453" s="45">
        <v>368</v>
      </c>
      <c r="C453" s="20" t="s">
        <v>674</v>
      </c>
      <c r="D453" s="21" t="s">
        <v>675</v>
      </c>
      <c r="E453" s="20">
        <v>407</v>
      </c>
      <c r="F453" s="20">
        <v>407</v>
      </c>
      <c r="G453" s="22">
        <v>1</v>
      </c>
      <c r="H453" s="23">
        <v>4.0000000000000001E-139</v>
      </c>
      <c r="I453" s="20">
        <v>83.12</v>
      </c>
      <c r="J453" s="20"/>
    </row>
    <row r="454" spans="1:10" x14ac:dyDescent="0.2">
      <c r="A454" s="15" t="str">
        <f>HYPERLINK("https://www.ncbi.nlm.nih.gov/protein/XP_007456694.1?report=genbank&amp;log$=prottop&amp;blast_rank=876&amp;RID=DNNRD06A013","XP_007456694.1")</f>
        <v>XP_007456694.1</v>
      </c>
      <c r="B454" s="44">
        <v>78</v>
      </c>
      <c r="C454" s="15" t="s">
        <v>676</v>
      </c>
      <c r="D454" s="16" t="s">
        <v>675</v>
      </c>
      <c r="E454" s="15">
        <v>50.1</v>
      </c>
      <c r="F454" s="15">
        <v>50.1</v>
      </c>
      <c r="G454" s="17">
        <v>0.23</v>
      </c>
      <c r="H454" s="18">
        <v>2.0000000000000001E-4</v>
      </c>
      <c r="I454" s="15">
        <v>41.89</v>
      </c>
      <c r="J454" s="15" t="s">
        <v>18</v>
      </c>
    </row>
    <row r="455" spans="1:10" x14ac:dyDescent="0.2">
      <c r="A455" s="20" t="str">
        <f>HYPERLINK("https://www.ncbi.nlm.nih.gov/protein/XP_032702186.1?report=genbank&amp;log$=prottop&amp;blast_rank=228&amp;RID=DNNRD06A013","XP_032702186.1")</f>
        <v>XP_032702186.1</v>
      </c>
      <c r="B455" s="45">
        <v>236</v>
      </c>
      <c r="C455" s="20" t="s">
        <v>677</v>
      </c>
      <c r="D455" s="21" t="s">
        <v>678</v>
      </c>
      <c r="E455" s="20">
        <v>156</v>
      </c>
      <c r="F455" s="20">
        <v>156</v>
      </c>
      <c r="G455" s="22">
        <v>0.7</v>
      </c>
      <c r="H455" s="23">
        <v>1E-42</v>
      </c>
      <c r="I455" s="20">
        <v>47.35</v>
      </c>
      <c r="J455" s="20"/>
    </row>
    <row r="456" spans="1:10" x14ac:dyDescent="0.2">
      <c r="A456" s="20" t="str">
        <f>HYPERLINK("https://www.ncbi.nlm.nih.gov/protein/XP_032723850.1?report=genbank&amp;log$=prottop&amp;blast_rank=93&amp;RID=DNNRD06A013","XP_032723850.1")</f>
        <v>XP_032723850.1</v>
      </c>
      <c r="B456" s="45">
        <v>313</v>
      </c>
      <c r="C456" s="20" t="s">
        <v>679</v>
      </c>
      <c r="D456" s="21" t="s">
        <v>678</v>
      </c>
      <c r="E456" s="20">
        <v>391</v>
      </c>
      <c r="F456" s="20">
        <v>391</v>
      </c>
      <c r="G456" s="22">
        <v>1</v>
      </c>
      <c r="H456" s="23">
        <v>1.0000000000000001E-133</v>
      </c>
      <c r="I456" s="20">
        <v>78.34</v>
      </c>
      <c r="J456" s="20"/>
    </row>
    <row r="457" spans="1:10" x14ac:dyDescent="0.2">
      <c r="A457" s="20" t="str">
        <f>HYPERLINK("https://www.ncbi.nlm.nih.gov/protein/XP_009054105.1?report=genbank&amp;log$=prottop&amp;blast_rank=445&amp;RID=DNNRD06A013","XP_009054105.1")</f>
        <v>XP_009054105.1</v>
      </c>
      <c r="B457" s="45">
        <v>236</v>
      </c>
      <c r="C457" s="20" t="s">
        <v>680</v>
      </c>
      <c r="D457" s="21" t="s">
        <v>681</v>
      </c>
      <c r="E457" s="20">
        <v>129</v>
      </c>
      <c r="F457" s="20">
        <v>129</v>
      </c>
      <c r="G457" s="22">
        <v>0.71</v>
      </c>
      <c r="H457" s="23">
        <v>4.0000000000000002E-32</v>
      </c>
      <c r="I457" s="20">
        <v>37.130000000000003</v>
      </c>
      <c r="J457" s="20"/>
    </row>
    <row r="458" spans="1:10" x14ac:dyDescent="0.2">
      <c r="A458" s="20" t="str">
        <f>HYPERLINK("https://www.ncbi.nlm.nih.gov/protein/XP_010599408.1?report=genbank&amp;log$=prottop&amp;blast_rank=328&amp;RID=DNNRD06A013","XP_010599408.1")</f>
        <v>XP_010599408.1</v>
      </c>
      <c r="B458" s="45">
        <v>236</v>
      </c>
      <c r="C458" s="20" t="s">
        <v>682</v>
      </c>
      <c r="D458" s="21" t="s">
        <v>683</v>
      </c>
      <c r="E458" s="20">
        <v>150</v>
      </c>
      <c r="F458" s="20">
        <v>150</v>
      </c>
      <c r="G458" s="22">
        <v>0.7</v>
      </c>
      <c r="H458" s="23">
        <v>1.9999999999999999E-40</v>
      </c>
      <c r="I458" s="20">
        <v>46.02</v>
      </c>
      <c r="J458" s="20"/>
    </row>
    <row r="459" spans="1:10" x14ac:dyDescent="0.2">
      <c r="A459" s="20" t="str">
        <f>HYPERLINK("https://www.ncbi.nlm.nih.gov/protein/XP_010588136.1?report=genbank&amp;log$=prottop&amp;blast_rank=148&amp;RID=DNNRD06A013","XP_010588136.1")</f>
        <v>XP_010588136.1</v>
      </c>
      <c r="B459" s="45">
        <v>314</v>
      </c>
      <c r="C459" s="20" t="s">
        <v>684</v>
      </c>
      <c r="D459" s="21" t="s">
        <v>683</v>
      </c>
      <c r="E459" s="20">
        <v>358</v>
      </c>
      <c r="F459" s="20">
        <v>358</v>
      </c>
      <c r="G459" s="22">
        <v>1</v>
      </c>
      <c r="H459" s="23">
        <v>9.9999999999999998E-121</v>
      </c>
      <c r="I459" s="20">
        <v>80.89</v>
      </c>
      <c r="J459" s="20"/>
    </row>
    <row r="460" spans="1:10" x14ac:dyDescent="0.2">
      <c r="A460" s="20" t="str">
        <f>HYPERLINK("https://www.ncbi.nlm.nih.gov/protein/XP_023305487.2?report=genbank&amp;log$=prottop&amp;blast_rank=865&amp;RID=DNNRD06A013","XP_023305487.2")</f>
        <v>XP_023305487.2</v>
      </c>
      <c r="B460" s="45">
        <v>353</v>
      </c>
      <c r="C460" s="20" t="s">
        <v>685</v>
      </c>
      <c r="D460" s="21" t="s">
        <v>686</v>
      </c>
      <c r="E460" s="20">
        <v>55.1</v>
      </c>
      <c r="F460" s="20">
        <v>55.1</v>
      </c>
      <c r="G460" s="22">
        <v>0.49</v>
      </c>
      <c r="H460" s="23">
        <v>1E-4</v>
      </c>
      <c r="I460" s="20">
        <v>26.82</v>
      </c>
      <c r="J460" s="20"/>
    </row>
    <row r="461" spans="1:10" x14ac:dyDescent="0.2">
      <c r="A461" s="20" t="str">
        <f>HYPERLINK("https://www.ncbi.nlm.nih.gov/protein/XP_037809685.1?report=genbank&amp;log$=prottop&amp;blast_rank=872&amp;RID=DNNRD06A013","XP_037809685.1")</f>
        <v>XP_037809685.1</v>
      </c>
      <c r="B461" s="45">
        <v>355</v>
      </c>
      <c r="C461" s="20" t="s">
        <v>687</v>
      </c>
      <c r="D461" s="21" t="s">
        <v>688</v>
      </c>
      <c r="E461" s="20">
        <v>54.7</v>
      </c>
      <c r="F461" s="20">
        <v>54.7</v>
      </c>
      <c r="G461" s="22">
        <v>0.53</v>
      </c>
      <c r="H461" s="23">
        <v>2.0000000000000001E-4</v>
      </c>
      <c r="I461" s="20">
        <v>25</v>
      </c>
      <c r="J461" s="20"/>
    </row>
    <row r="462" spans="1:10" x14ac:dyDescent="0.2">
      <c r="A462" s="20" t="str">
        <f>HYPERLINK("https://www.ncbi.nlm.nih.gov/protein/XP_047571569.1?report=genbank&amp;log$=prottop&amp;blast_rank=277&amp;RID=DNNRD06A013","XP_047571569.1")</f>
        <v>XP_047571569.1</v>
      </c>
      <c r="B462" s="45">
        <v>236</v>
      </c>
      <c r="C462" s="20" t="s">
        <v>689</v>
      </c>
      <c r="D462" s="21" t="s">
        <v>690</v>
      </c>
      <c r="E462" s="20">
        <v>152</v>
      </c>
      <c r="F462" s="20">
        <v>152</v>
      </c>
      <c r="G462" s="22">
        <v>0.7</v>
      </c>
      <c r="H462" s="23">
        <v>4E-41</v>
      </c>
      <c r="I462" s="20">
        <v>46.9</v>
      </c>
      <c r="J462" s="20"/>
    </row>
    <row r="463" spans="1:10" x14ac:dyDescent="0.2">
      <c r="A463" s="20" t="str">
        <f>HYPERLINK("https://www.ncbi.nlm.nih.gov/protein/XP_047550817.1?report=genbank&amp;log$=prottop&amp;blast_rank=106&amp;RID=DNNRD06A013","XP_047550817.1")</f>
        <v>XP_047550817.1</v>
      </c>
      <c r="B463" s="45">
        <v>313</v>
      </c>
      <c r="C463" s="20" t="s">
        <v>691</v>
      </c>
      <c r="D463" s="21" t="s">
        <v>690</v>
      </c>
      <c r="E463" s="20">
        <v>386</v>
      </c>
      <c r="F463" s="20">
        <v>386</v>
      </c>
      <c r="G463" s="22">
        <v>1</v>
      </c>
      <c r="H463" s="23">
        <v>9.9999999999999999E-132</v>
      </c>
      <c r="I463" s="20">
        <v>77.709999999999994</v>
      </c>
      <c r="J463" s="20"/>
    </row>
    <row r="464" spans="1:10" x14ac:dyDescent="0.2">
      <c r="A464" s="20" t="str">
        <f>HYPERLINK("https://www.ncbi.nlm.nih.gov/protein/XP_030162536.1?report=genbank&amp;log$=prottop&amp;blast_rank=72&amp;RID=DNNRD06A013","XP_030162536.1")</f>
        <v>XP_030162536.1</v>
      </c>
      <c r="B464" s="45">
        <v>314</v>
      </c>
      <c r="C464" s="20" t="s">
        <v>692</v>
      </c>
      <c r="D464" s="21" t="s">
        <v>693</v>
      </c>
      <c r="E464" s="20">
        <v>400</v>
      </c>
      <c r="F464" s="20">
        <v>400</v>
      </c>
      <c r="G464" s="22">
        <v>1</v>
      </c>
      <c r="H464" s="23">
        <v>5.9999999999999996E-137</v>
      </c>
      <c r="I464" s="20">
        <v>81.53</v>
      </c>
      <c r="J464" s="20"/>
    </row>
    <row r="465" spans="1:10" x14ac:dyDescent="0.2">
      <c r="A465" s="20" t="str">
        <f>HYPERLINK("https://www.ncbi.nlm.nih.gov/protein/XP_046954428.1?report=genbank&amp;log$=prottop&amp;blast_rank=291&amp;RID=DNNRD06A013","XP_046954428.1")</f>
        <v>XP_046954428.1</v>
      </c>
      <c r="B465" s="45">
        <v>236</v>
      </c>
      <c r="C465" s="20" t="s">
        <v>694</v>
      </c>
      <c r="D465" s="21" t="s">
        <v>695</v>
      </c>
      <c r="E465" s="20">
        <v>152</v>
      </c>
      <c r="F465" s="20">
        <v>152</v>
      </c>
      <c r="G465" s="22">
        <v>0.7</v>
      </c>
      <c r="H465" s="23">
        <v>5.9999999999999998E-41</v>
      </c>
      <c r="I465" s="20">
        <v>46.02</v>
      </c>
      <c r="J465" s="20"/>
    </row>
    <row r="466" spans="1:10" x14ac:dyDescent="0.2">
      <c r="A466" s="20" t="str">
        <f>HYPERLINK("https://www.ncbi.nlm.nih.gov/protein/XP_041481458.1?report=genbank&amp;log$=prottop&amp;blast_rank=479&amp;RID=DNNRD06A013","XP_041481458.1")</f>
        <v>XP_041481458.1</v>
      </c>
      <c r="B466" s="45">
        <v>279</v>
      </c>
      <c r="C466" s="20" t="s">
        <v>696</v>
      </c>
      <c r="D466" s="21" t="s">
        <v>697</v>
      </c>
      <c r="E466" s="20">
        <v>110</v>
      </c>
      <c r="F466" s="20">
        <v>110</v>
      </c>
      <c r="G466" s="22">
        <v>0.71</v>
      </c>
      <c r="H466" s="23">
        <v>9.9999999999999992E-25</v>
      </c>
      <c r="I466" s="20">
        <v>30.97</v>
      </c>
      <c r="J466" s="20"/>
    </row>
    <row r="467" spans="1:10" x14ac:dyDescent="0.2">
      <c r="A467" s="20" t="str">
        <f>HYPERLINK("https://www.ncbi.nlm.nih.gov/protein/XP_041481708.1?report=genbank&amp;log$=prottop&amp;blast_rank=638&amp;RID=DNNRD06A013","XP_041481708.1")</f>
        <v>XP_041481708.1</v>
      </c>
      <c r="B467" s="45">
        <v>337</v>
      </c>
      <c r="C467" s="20" t="s">
        <v>696</v>
      </c>
      <c r="D467" s="21" t="s">
        <v>697</v>
      </c>
      <c r="E467" s="20">
        <v>78.599999999999994</v>
      </c>
      <c r="F467" s="20">
        <v>132</v>
      </c>
      <c r="G467" s="22">
        <v>0.71</v>
      </c>
      <c r="H467" s="23">
        <v>9.9999999999999998E-13</v>
      </c>
      <c r="I467" s="20">
        <v>32.299999999999997</v>
      </c>
      <c r="J467" s="20"/>
    </row>
    <row r="468" spans="1:10" x14ac:dyDescent="0.2">
      <c r="A468" s="20" t="str">
        <f>HYPERLINK("https://www.ncbi.nlm.nih.gov/protein/XP_041481770.1?report=genbank&amp;log$=prottop&amp;blast_rank=646&amp;RID=DNNRD06A013","XP_041481770.1")</f>
        <v>XP_041481770.1</v>
      </c>
      <c r="B468" s="45">
        <v>438</v>
      </c>
      <c r="C468" s="20" t="s">
        <v>698</v>
      </c>
      <c r="D468" s="21" t="s">
        <v>697</v>
      </c>
      <c r="E468" s="20">
        <v>78.2</v>
      </c>
      <c r="F468" s="20">
        <v>126</v>
      </c>
      <c r="G468" s="22">
        <v>0.68</v>
      </c>
      <c r="H468" s="23">
        <v>3.0000000000000001E-12</v>
      </c>
      <c r="I468" s="20">
        <v>33.729999999999997</v>
      </c>
      <c r="J468" s="20"/>
    </row>
    <row r="469" spans="1:10" x14ac:dyDescent="0.2">
      <c r="A469" s="20" t="str">
        <f>HYPERLINK("https://www.ncbi.nlm.nih.gov/protein/XP_005594952.1?report=genbank&amp;log$=prottop&amp;blast_rank=292&amp;RID=DNNRD06A013","XP_005594952.1")</f>
        <v>XP_005594952.1</v>
      </c>
      <c r="B469" s="45">
        <v>236</v>
      </c>
      <c r="C469" s="20" t="s">
        <v>699</v>
      </c>
      <c r="D469" s="21" t="s">
        <v>700</v>
      </c>
      <c r="E469" s="20">
        <v>152</v>
      </c>
      <c r="F469" s="20">
        <v>152</v>
      </c>
      <c r="G469" s="22">
        <v>0.7</v>
      </c>
      <c r="H469" s="23">
        <v>5.9999999999999998E-41</v>
      </c>
      <c r="I469" s="20">
        <v>46.46</v>
      </c>
      <c r="J469" s="20"/>
    </row>
    <row r="470" spans="1:10" x14ac:dyDescent="0.2">
      <c r="A470" s="20" t="str">
        <f>HYPERLINK("https://www.ncbi.nlm.nih.gov/protein/XP_005547076.2?report=genbank&amp;log$=prottop&amp;blast_rank=16&amp;RID=DNNRD06A013","XP_005547076.2")</f>
        <v>XP_005547076.2</v>
      </c>
      <c r="B470" s="45">
        <v>314</v>
      </c>
      <c r="C470" s="20" t="s">
        <v>701</v>
      </c>
      <c r="D470" s="21" t="s">
        <v>700</v>
      </c>
      <c r="E470" s="20">
        <v>453</v>
      </c>
      <c r="F470" s="20">
        <v>453</v>
      </c>
      <c r="G470" s="22">
        <v>1</v>
      </c>
      <c r="H470" s="23">
        <v>4.0000000000000003E-158</v>
      </c>
      <c r="I470" s="20">
        <v>95.22</v>
      </c>
      <c r="J470" s="20"/>
    </row>
    <row r="471" spans="1:10" x14ac:dyDescent="0.2">
      <c r="A471" s="20" t="str">
        <f>HYPERLINK("https://www.ncbi.nlm.nih.gov/protein/XP_002802855.1?report=genbank&amp;log$=prottop&amp;blast_rank=20&amp;RID=DNNRD06A013","XP_002802855.1")</f>
        <v>XP_002802855.1</v>
      </c>
      <c r="B471" s="45">
        <v>474</v>
      </c>
      <c r="C471" s="20" t="s">
        <v>702</v>
      </c>
      <c r="D471" s="21" t="s">
        <v>703</v>
      </c>
      <c r="E471" s="20">
        <v>449</v>
      </c>
      <c r="F471" s="20">
        <v>449</v>
      </c>
      <c r="G471" s="22">
        <v>1</v>
      </c>
      <c r="H471" s="23">
        <v>7.0000000000000001E-154</v>
      </c>
      <c r="I471" s="20">
        <v>95.54</v>
      </c>
      <c r="J471" s="20"/>
    </row>
    <row r="472" spans="1:10" x14ac:dyDescent="0.2">
      <c r="A472" s="20" t="str">
        <f>HYPERLINK("https://www.ncbi.nlm.nih.gov/protein/XP_011715162.1?report=genbank&amp;log$=prottop&amp;blast_rank=323&amp;RID=DNNRD06A013","XP_011715162.1")</f>
        <v>XP_011715162.1</v>
      </c>
      <c r="B472" s="45">
        <v>264</v>
      </c>
      <c r="C472" s="20" t="s">
        <v>704</v>
      </c>
      <c r="D472" s="21" t="s">
        <v>705</v>
      </c>
      <c r="E472" s="20">
        <v>152</v>
      </c>
      <c r="F472" s="20">
        <v>152</v>
      </c>
      <c r="G472" s="22">
        <v>0.7</v>
      </c>
      <c r="H472" s="23">
        <v>1.9999999999999999E-40</v>
      </c>
      <c r="I472" s="20">
        <v>46.46</v>
      </c>
      <c r="J472" s="20"/>
    </row>
    <row r="473" spans="1:10" x14ac:dyDescent="0.2">
      <c r="A473" s="20" t="str">
        <f>HYPERLINK("https://www.ncbi.nlm.nih.gov/protein/XP_011715163.1?report=genbank&amp;log$=prottop&amp;blast_rank=299&amp;RID=DNNRD06A013","XP_011715163.1")</f>
        <v>XP_011715163.1</v>
      </c>
      <c r="B473" s="45">
        <v>236</v>
      </c>
      <c r="C473" s="20" t="s">
        <v>706</v>
      </c>
      <c r="D473" s="21" t="s">
        <v>705</v>
      </c>
      <c r="E473" s="20">
        <v>152</v>
      </c>
      <c r="F473" s="20">
        <v>152</v>
      </c>
      <c r="G473" s="22">
        <v>0.7</v>
      </c>
      <c r="H473" s="23">
        <v>6.9999999999999999E-41</v>
      </c>
      <c r="I473" s="20">
        <v>46.46</v>
      </c>
      <c r="J473" s="20"/>
    </row>
    <row r="474" spans="1:10" x14ac:dyDescent="0.2">
      <c r="A474" s="20" t="str">
        <f>HYPERLINK("https://www.ncbi.nlm.nih.gov/protein/XP_011737524.1?report=genbank&amp;log$=prottop&amp;blast_rank=17&amp;RID=DNNRD06A013","XP_011737524.1")</f>
        <v>XP_011737524.1</v>
      </c>
      <c r="B474" s="45">
        <v>314</v>
      </c>
      <c r="C474" s="20" t="s">
        <v>707</v>
      </c>
      <c r="D474" s="21" t="s">
        <v>705</v>
      </c>
      <c r="E474" s="20">
        <v>452</v>
      </c>
      <c r="F474" s="20">
        <v>452</v>
      </c>
      <c r="G474" s="22">
        <v>1</v>
      </c>
      <c r="H474" s="23">
        <v>1.9999999999999999E-157</v>
      </c>
      <c r="I474" s="20">
        <v>94.9</v>
      </c>
      <c r="J474" s="20"/>
    </row>
    <row r="475" spans="1:10" x14ac:dyDescent="0.2">
      <c r="A475" s="20" t="str">
        <f>HYPERLINK("https://www.ncbi.nlm.nih.gov/protein/XP_011857628.1?report=genbank&amp;log$=prottop&amp;blast_rank=314&amp;RID=DNNRD06A013","XP_011857628.1")</f>
        <v>XP_011857628.1</v>
      </c>
      <c r="B475" s="45">
        <v>275</v>
      </c>
      <c r="C475" s="20" t="s">
        <v>708</v>
      </c>
      <c r="D475" s="21" t="s">
        <v>709</v>
      </c>
      <c r="E475" s="20">
        <v>152</v>
      </c>
      <c r="F475" s="20">
        <v>152</v>
      </c>
      <c r="G475" s="22">
        <v>0.7</v>
      </c>
      <c r="H475" s="23">
        <v>9.9999999999999993E-41</v>
      </c>
      <c r="I475" s="20">
        <v>46.46</v>
      </c>
      <c r="J475" s="20"/>
    </row>
    <row r="476" spans="1:10" x14ac:dyDescent="0.2">
      <c r="A476" s="20" t="str">
        <f>HYPERLINK("https://www.ncbi.nlm.nih.gov/protein/XP_011836379.1?report=genbank&amp;log$=prottop&amp;blast_rank=19&amp;RID=DNNRD06A013","XP_011836379.1")</f>
        <v>XP_011836379.1</v>
      </c>
      <c r="B476" s="45">
        <v>474</v>
      </c>
      <c r="C476" s="20" t="s">
        <v>710</v>
      </c>
      <c r="D476" s="21" t="s">
        <v>709</v>
      </c>
      <c r="E476" s="20">
        <v>449</v>
      </c>
      <c r="F476" s="20">
        <v>449</v>
      </c>
      <c r="G476" s="22">
        <v>1</v>
      </c>
      <c r="H476" s="23">
        <v>5.0000000000000002E-154</v>
      </c>
      <c r="I476" s="20">
        <v>95.54</v>
      </c>
      <c r="J476" s="20"/>
    </row>
    <row r="477" spans="1:10" x14ac:dyDescent="0.2">
      <c r="A477" s="20" t="str">
        <f>HYPERLINK("https://www.ncbi.nlm.nih.gov/protein/XP_011836380.1?report=genbank&amp;log$=prottop&amp;blast_rank=22&amp;RID=DNNRD06A013","XP_011836380.1")</f>
        <v>XP_011836380.1</v>
      </c>
      <c r="B477" s="45">
        <v>415</v>
      </c>
      <c r="C477" s="20" t="s">
        <v>711</v>
      </c>
      <c r="D477" s="21" t="s">
        <v>709</v>
      </c>
      <c r="E477" s="20">
        <v>444</v>
      </c>
      <c r="F477" s="20">
        <v>444</v>
      </c>
      <c r="G477" s="22">
        <v>0.99</v>
      </c>
      <c r="H477" s="23">
        <v>5.0000000000000003E-153</v>
      </c>
      <c r="I477" s="20">
        <v>95.5</v>
      </c>
      <c r="J477" s="20"/>
    </row>
    <row r="478" spans="1:10" x14ac:dyDescent="0.2">
      <c r="A478" s="20" t="str">
        <f>HYPERLINK("https://www.ncbi.nlm.nih.gov/protein/XP_030027396.2?report=genbank&amp;log$=prottop&amp;blast_rank=535&amp;RID=DNNRD06A013","XP_030027396.2")</f>
        <v>XP_030027396.2</v>
      </c>
      <c r="B478" s="45">
        <v>285</v>
      </c>
      <c r="C478" s="20" t="s">
        <v>712</v>
      </c>
      <c r="D478" s="21" t="s">
        <v>713</v>
      </c>
      <c r="E478" s="20">
        <v>93.2</v>
      </c>
      <c r="F478" s="20">
        <v>93.2</v>
      </c>
      <c r="G478" s="22">
        <v>0.7</v>
      </c>
      <c r="H478" s="23">
        <v>5.0000000000000004E-18</v>
      </c>
      <c r="I478" s="20">
        <v>26.91</v>
      </c>
      <c r="J478" s="20"/>
    </row>
    <row r="479" spans="1:10" x14ac:dyDescent="0.2">
      <c r="A479" s="20" t="str">
        <f>HYPERLINK("https://www.ncbi.nlm.nih.gov/protein/XP_030038630.2?report=genbank&amp;log$=prottop&amp;blast_rank=740&amp;RID=DNNRD06A013","XP_030038630.2")</f>
        <v>XP_030038630.2</v>
      </c>
      <c r="B479" s="45">
        <v>316</v>
      </c>
      <c r="C479" s="20" t="s">
        <v>714</v>
      </c>
      <c r="D479" s="21" t="s">
        <v>713</v>
      </c>
      <c r="E479" s="20">
        <v>67</v>
      </c>
      <c r="F479" s="20">
        <v>67</v>
      </c>
      <c r="G479" s="22">
        <v>0.48</v>
      </c>
      <c r="H479" s="23">
        <v>1E-8</v>
      </c>
      <c r="I479" s="20">
        <v>30.32</v>
      </c>
      <c r="J479" s="20"/>
    </row>
    <row r="480" spans="1:10" x14ac:dyDescent="0.2">
      <c r="A480" s="20" t="str">
        <f>HYPERLINK("https://www.ncbi.nlm.nih.gov/protein/XP_034826238.1?report=genbank&amp;log$=prottop&amp;blast_rank=574&amp;RID=DNNRD06A013","XP_034826238.1")</f>
        <v>XP_034826238.1</v>
      </c>
      <c r="B480" s="45">
        <v>273</v>
      </c>
      <c r="C480" s="20" t="s">
        <v>715</v>
      </c>
      <c r="D480" s="21" t="s">
        <v>716</v>
      </c>
      <c r="E480" s="20">
        <v>84</v>
      </c>
      <c r="F480" s="20">
        <v>84</v>
      </c>
      <c r="G480" s="22">
        <v>0.48</v>
      </c>
      <c r="H480" s="23">
        <v>8.9999999999999995E-15</v>
      </c>
      <c r="I480" s="20">
        <v>33.33</v>
      </c>
      <c r="J480" s="20"/>
    </row>
    <row r="481" spans="1:10" x14ac:dyDescent="0.2">
      <c r="A481" s="20" t="str">
        <f>HYPERLINK("https://www.ncbi.nlm.nih.gov/protein/XP_034825872.1?report=genbank&amp;log$=prottop&amp;blast_rank=754&amp;RID=DNNRD06A013","XP_034825872.1")</f>
        <v>XP_034825872.1</v>
      </c>
      <c r="B481" s="45">
        <v>302</v>
      </c>
      <c r="C481" s="20" t="s">
        <v>717</v>
      </c>
      <c r="D481" s="21" t="s">
        <v>716</v>
      </c>
      <c r="E481" s="20">
        <v>64.7</v>
      </c>
      <c r="F481" s="20">
        <v>64.7</v>
      </c>
      <c r="G481" s="22">
        <v>0.45</v>
      </c>
      <c r="H481" s="23">
        <v>4.9999999999999998E-8</v>
      </c>
      <c r="I481" s="20">
        <v>31.97</v>
      </c>
      <c r="J481" s="20"/>
    </row>
    <row r="482" spans="1:10" x14ac:dyDescent="0.2">
      <c r="A482" s="20" t="str">
        <f>HYPERLINK("https://www.ncbi.nlm.nih.gov/protein/XP_045761942.1?report=genbank&amp;log$=prottop&amp;blast_rank=595&amp;RID=DNNRD06A013","XP_045761942.1")</f>
        <v>XP_045761942.1</v>
      </c>
      <c r="B482" s="45">
        <v>274</v>
      </c>
      <c r="C482" s="20" t="s">
        <v>718</v>
      </c>
      <c r="D482" s="21" t="s">
        <v>719</v>
      </c>
      <c r="E482" s="20">
        <v>81.599999999999994</v>
      </c>
      <c r="F482" s="20">
        <v>81.599999999999994</v>
      </c>
      <c r="G482" s="22">
        <v>0.48</v>
      </c>
      <c r="H482" s="23">
        <v>5.0000000000000002E-14</v>
      </c>
      <c r="I482" s="20">
        <v>32.89</v>
      </c>
      <c r="J482" s="20"/>
    </row>
    <row r="483" spans="1:10" x14ac:dyDescent="0.2">
      <c r="A483" s="20" t="str">
        <f>HYPERLINK("https://www.ncbi.nlm.nih.gov/protein/XP_045762299.1?report=genbank&amp;log$=prottop&amp;blast_rank=751&amp;RID=DNNRD06A013","XP_045762299.1")</f>
        <v>XP_045762299.1</v>
      </c>
      <c r="B483" s="45">
        <v>430</v>
      </c>
      <c r="C483" s="20" t="s">
        <v>720</v>
      </c>
      <c r="D483" s="21" t="s">
        <v>719</v>
      </c>
      <c r="E483" s="20">
        <v>66.2</v>
      </c>
      <c r="F483" s="20">
        <v>66.2</v>
      </c>
      <c r="G483" s="22">
        <v>0.46</v>
      </c>
      <c r="H483" s="23">
        <v>2.9999999999999997E-8</v>
      </c>
      <c r="I483" s="20">
        <v>32.21</v>
      </c>
      <c r="J483" s="20"/>
    </row>
    <row r="484" spans="1:10" x14ac:dyDescent="0.2">
      <c r="A484" s="20" t="str">
        <f>HYPERLINK("https://www.ncbi.nlm.nih.gov/protein/XP_017526161.2?report=genbank&amp;log$=prottop&amp;blast_rank=221&amp;RID=DNNRD06A013","XP_017526161.2")</f>
        <v>XP_017526161.2</v>
      </c>
      <c r="B484" s="45">
        <v>261</v>
      </c>
      <c r="C484" s="20" t="s">
        <v>721</v>
      </c>
      <c r="D484" s="21" t="s">
        <v>722</v>
      </c>
      <c r="E484" s="20">
        <v>159</v>
      </c>
      <c r="F484" s="20">
        <v>159</v>
      </c>
      <c r="G484" s="22">
        <v>0.7</v>
      </c>
      <c r="H484" s="23">
        <v>2.0000000000000002E-43</v>
      </c>
      <c r="I484" s="20">
        <v>46.9</v>
      </c>
      <c r="J484" s="20"/>
    </row>
    <row r="485" spans="1:10" x14ac:dyDescent="0.2">
      <c r="A485" s="20" t="str">
        <f>HYPERLINK("https://www.ncbi.nlm.nih.gov/protein/XP_017526160.1?report=genbank&amp;log$=prottop&amp;blast_rank=217&amp;RID=DNNRD06A013","XP_017526160.1")</f>
        <v>XP_017526160.1</v>
      </c>
      <c r="B485" s="45">
        <v>236</v>
      </c>
      <c r="C485" s="20" t="s">
        <v>723</v>
      </c>
      <c r="D485" s="21" t="s">
        <v>722</v>
      </c>
      <c r="E485" s="20">
        <v>160</v>
      </c>
      <c r="F485" s="20">
        <v>160</v>
      </c>
      <c r="G485" s="22">
        <v>0.7</v>
      </c>
      <c r="H485" s="23">
        <v>6.9999999999999995E-44</v>
      </c>
      <c r="I485" s="20">
        <v>46.9</v>
      </c>
      <c r="J485" s="20"/>
    </row>
    <row r="486" spans="1:10" x14ac:dyDescent="0.2">
      <c r="A486" s="20" t="str">
        <f>HYPERLINK("https://www.ncbi.nlm.nih.gov/protein/XP_017524818.1?report=genbank&amp;log$=prottop&amp;blast_rank=164&amp;RID=DNNRD06A013","XP_017524818.1")</f>
        <v>XP_017524818.1</v>
      </c>
      <c r="B486" s="45">
        <v>308</v>
      </c>
      <c r="C486" s="20" t="s">
        <v>724</v>
      </c>
      <c r="D486" s="21" t="s">
        <v>722</v>
      </c>
      <c r="E486" s="20">
        <v>345</v>
      </c>
      <c r="F486" s="20">
        <v>345</v>
      </c>
      <c r="G486" s="22">
        <v>1</v>
      </c>
      <c r="H486" s="23">
        <v>2.0000000000000001E-115</v>
      </c>
      <c r="I486" s="20">
        <v>74.680000000000007</v>
      </c>
      <c r="J486" s="20"/>
    </row>
    <row r="487" spans="1:10" x14ac:dyDescent="0.2">
      <c r="A487" s="20" t="str">
        <f>HYPERLINK("https://www.ncbi.nlm.nih.gov/protein/XP_017524819.1?report=genbank&amp;log$=prottop&amp;blast_rank=187&amp;RID=DNNRD06A013","XP_017524819.1")</f>
        <v>XP_017524819.1</v>
      </c>
      <c r="B487" s="45">
        <v>260</v>
      </c>
      <c r="C487" s="20" t="s">
        <v>725</v>
      </c>
      <c r="D487" s="21" t="s">
        <v>722</v>
      </c>
      <c r="E487" s="20">
        <v>275</v>
      </c>
      <c r="F487" s="20">
        <v>275</v>
      </c>
      <c r="G487" s="22">
        <v>0.8</v>
      </c>
      <c r="H487" s="23">
        <v>8.9999999999999998E-89</v>
      </c>
      <c r="I487" s="20">
        <v>73.73</v>
      </c>
      <c r="J487" s="20"/>
    </row>
    <row r="488" spans="1:10" x14ac:dyDescent="0.2">
      <c r="A488" s="20" t="str">
        <f>HYPERLINK("https://www.ncbi.nlm.nih.gov/protein/XP_036743119.1?report=genbank&amp;log$=prottop&amp;blast_rank=226&amp;RID=DNNRD06A013","XP_036743119.1")</f>
        <v>XP_036743119.1</v>
      </c>
      <c r="B488" s="45">
        <v>236</v>
      </c>
      <c r="C488" s="20" t="s">
        <v>726</v>
      </c>
      <c r="D488" s="21" t="s">
        <v>727</v>
      </c>
      <c r="E488" s="20">
        <v>157</v>
      </c>
      <c r="F488" s="20">
        <v>157</v>
      </c>
      <c r="G488" s="22">
        <v>0.7</v>
      </c>
      <c r="H488" s="23">
        <v>6.9999999999999999E-43</v>
      </c>
      <c r="I488" s="20">
        <v>46.46</v>
      </c>
      <c r="J488" s="20"/>
    </row>
    <row r="489" spans="1:10" x14ac:dyDescent="0.2">
      <c r="A489" s="20" t="str">
        <f>HYPERLINK("https://www.ncbi.nlm.nih.gov/protein/XP_036733985.1?report=genbank&amp;log$=prottop&amp;blast_rank=178&amp;RID=DNNRD06A013","XP_036733985.1")</f>
        <v>XP_036733985.1</v>
      </c>
      <c r="B489" s="45">
        <v>365</v>
      </c>
      <c r="C489" s="20" t="s">
        <v>728</v>
      </c>
      <c r="D489" s="21" t="s">
        <v>727</v>
      </c>
      <c r="E489" s="20">
        <v>317</v>
      </c>
      <c r="F489" s="20">
        <v>317</v>
      </c>
      <c r="G489" s="22">
        <v>0.93</v>
      </c>
      <c r="H489" s="23">
        <v>9.9999999999999996E-104</v>
      </c>
      <c r="I489" s="20">
        <v>75.17</v>
      </c>
      <c r="J489" s="20"/>
    </row>
    <row r="490" spans="1:10" x14ac:dyDescent="0.2">
      <c r="A490" s="20" t="str">
        <f>HYPERLINK("https://www.ncbi.nlm.nih.gov/protein/XP_036733986.1?report=genbank&amp;log$=prottop&amp;blast_rank=181&amp;RID=DNNRD06A013","XP_036733986.1")</f>
        <v>XP_036733986.1</v>
      </c>
      <c r="B490" s="45">
        <v>357</v>
      </c>
      <c r="C490" s="20" t="s">
        <v>729</v>
      </c>
      <c r="D490" s="21" t="s">
        <v>727</v>
      </c>
      <c r="E490" s="20">
        <v>304</v>
      </c>
      <c r="F490" s="20">
        <v>304</v>
      </c>
      <c r="G490" s="22">
        <v>0.91</v>
      </c>
      <c r="H490" s="23">
        <v>9.9999999999999994E-99</v>
      </c>
      <c r="I490" s="20">
        <v>74.83</v>
      </c>
      <c r="J490" s="20"/>
    </row>
    <row r="491" spans="1:10" x14ac:dyDescent="0.2">
      <c r="A491" s="20" t="str">
        <f>HYPERLINK("https://www.ncbi.nlm.nih.gov/protein/XP_036733988.1?report=genbank&amp;log$=prottop&amp;blast_rank=158&amp;RID=DNNRD06A013","XP_036733988.1")</f>
        <v>XP_036733988.1</v>
      </c>
      <c r="B491" s="45">
        <v>308</v>
      </c>
      <c r="C491" s="20" t="s">
        <v>730</v>
      </c>
      <c r="D491" s="21" t="s">
        <v>727</v>
      </c>
      <c r="E491" s="20">
        <v>350</v>
      </c>
      <c r="F491" s="20">
        <v>350</v>
      </c>
      <c r="G491" s="22">
        <v>1</v>
      </c>
      <c r="H491" s="23">
        <v>1E-117</v>
      </c>
      <c r="I491" s="20">
        <v>75.16</v>
      </c>
      <c r="J491" s="20"/>
    </row>
    <row r="492" spans="1:10" x14ac:dyDescent="0.2">
      <c r="A492" s="20" t="str">
        <f>HYPERLINK("https://www.ncbi.nlm.nih.gov/protein/XP_027777524.1?report=genbank&amp;log$=prottop&amp;blast_rank=326&amp;RID=DNNRD06A013","XP_027777524.1")</f>
        <v>XP_027777524.1</v>
      </c>
      <c r="B492" s="45">
        <v>236</v>
      </c>
      <c r="C492" s="20" t="s">
        <v>731</v>
      </c>
      <c r="D492" s="21" t="s">
        <v>732</v>
      </c>
      <c r="E492" s="20">
        <v>150</v>
      </c>
      <c r="F492" s="20">
        <v>150</v>
      </c>
      <c r="G492" s="22">
        <v>0.7</v>
      </c>
      <c r="H492" s="23">
        <v>1.9999999999999999E-40</v>
      </c>
      <c r="I492" s="20">
        <v>45.74</v>
      </c>
      <c r="J492" s="20"/>
    </row>
    <row r="493" spans="1:10" x14ac:dyDescent="0.2">
      <c r="A493" s="20" t="str">
        <f>HYPERLINK("https://www.ncbi.nlm.nih.gov/protein/XP_027789484.1?report=genbank&amp;log$=prottop&amp;blast_rank=51&amp;RID=DNNRD06A013","XP_027789484.1")</f>
        <v>XP_027789484.1</v>
      </c>
      <c r="B493" s="45">
        <v>314</v>
      </c>
      <c r="C493" s="20" t="s">
        <v>733</v>
      </c>
      <c r="D493" s="21" t="s">
        <v>732</v>
      </c>
      <c r="E493" s="20">
        <v>405</v>
      </c>
      <c r="F493" s="20">
        <v>405</v>
      </c>
      <c r="G493" s="22">
        <v>1</v>
      </c>
      <c r="H493" s="23">
        <v>5.0000000000000003E-139</v>
      </c>
      <c r="I493" s="20">
        <v>82.48</v>
      </c>
      <c r="J493" s="20"/>
    </row>
    <row r="494" spans="1:10" x14ac:dyDescent="0.2">
      <c r="A494" s="20" t="str">
        <f>HYPERLINK("https://www.ncbi.nlm.nih.gov/protein/XP_015362471.1?report=genbank&amp;log$=prottop&amp;blast_rank=347&amp;RID=DNNRD06A013","XP_015362471.1")</f>
        <v>XP_015362471.1</v>
      </c>
      <c r="B494" s="45">
        <v>236</v>
      </c>
      <c r="C494" s="20" t="s">
        <v>734</v>
      </c>
      <c r="D494" s="21" t="s">
        <v>735</v>
      </c>
      <c r="E494" s="20">
        <v>150</v>
      </c>
      <c r="F494" s="20">
        <v>150</v>
      </c>
      <c r="G494" s="22">
        <v>0.7</v>
      </c>
      <c r="H494" s="23">
        <v>4.9999999999999996E-40</v>
      </c>
      <c r="I494" s="20">
        <v>45.74</v>
      </c>
      <c r="J494" s="20"/>
    </row>
    <row r="495" spans="1:10" x14ac:dyDescent="0.2">
      <c r="A495" s="20" t="str">
        <f>HYPERLINK("https://www.ncbi.nlm.nih.gov/protein/XP_015342756.1?report=genbank&amp;log$=prottop&amp;blast_rank=64&amp;RID=DNNRD06A013","XP_015342756.1")</f>
        <v>XP_015342756.1</v>
      </c>
      <c r="B495" s="45">
        <v>314</v>
      </c>
      <c r="C495" s="20" t="s">
        <v>736</v>
      </c>
      <c r="D495" s="21" t="s">
        <v>735</v>
      </c>
      <c r="E495" s="20">
        <v>402</v>
      </c>
      <c r="F495" s="20">
        <v>402</v>
      </c>
      <c r="G495" s="22">
        <v>1</v>
      </c>
      <c r="H495" s="23">
        <v>6.0000000000000001E-138</v>
      </c>
      <c r="I495" s="20">
        <v>82.17</v>
      </c>
      <c r="J495" s="20"/>
    </row>
    <row r="496" spans="1:10" x14ac:dyDescent="0.2">
      <c r="A496" s="20" t="str">
        <f>HYPERLINK("https://www.ncbi.nlm.nih.gov/protein/XP_046309279.1?report=genbank&amp;log$=prottop&amp;blast_rank=254&amp;RID=DNNRD06A013","XP_046309279.1")</f>
        <v>XP_046309279.1</v>
      </c>
      <c r="B496" s="45">
        <v>236</v>
      </c>
      <c r="C496" s="20" t="s">
        <v>737</v>
      </c>
      <c r="D496" s="21" t="s">
        <v>738</v>
      </c>
      <c r="E496" s="20">
        <v>154</v>
      </c>
      <c r="F496" s="20">
        <v>154</v>
      </c>
      <c r="G496" s="22">
        <v>0.7</v>
      </c>
      <c r="H496" s="23">
        <v>1E-41</v>
      </c>
      <c r="I496" s="20">
        <v>46.19</v>
      </c>
      <c r="J496" s="20"/>
    </row>
    <row r="497" spans="1:10" x14ac:dyDescent="0.2">
      <c r="A497" s="20" t="str">
        <f>HYPERLINK("https://www.ncbi.nlm.nih.gov/protein/XP_046287496.1?report=genbank&amp;log$=prottop&amp;blast_rank=45&amp;RID=DNNRD06A013","XP_046287496.1")</f>
        <v>XP_046287496.1</v>
      </c>
      <c r="B497" s="45">
        <v>314</v>
      </c>
      <c r="C497" s="20" t="s">
        <v>739</v>
      </c>
      <c r="D497" s="21" t="s">
        <v>738</v>
      </c>
      <c r="E497" s="20">
        <v>405</v>
      </c>
      <c r="F497" s="20">
        <v>405</v>
      </c>
      <c r="G497" s="22">
        <v>1</v>
      </c>
      <c r="H497" s="23">
        <v>2.9999999999999999E-139</v>
      </c>
      <c r="I497" s="20">
        <v>82.48</v>
      </c>
      <c r="J497" s="20"/>
    </row>
    <row r="498" spans="1:10" x14ac:dyDescent="0.2">
      <c r="A498" s="20" t="str">
        <f>HYPERLINK("https://www.ncbi.nlm.nih.gov/protein/XP_031230253.1?report=genbank&amp;log$=prottop&amp;blast_rank=370&amp;RID=DNNRD06A013","XP_031230253.1")</f>
        <v>XP_031230253.1</v>
      </c>
      <c r="B498" s="45">
        <v>236</v>
      </c>
      <c r="C498" s="20" t="s">
        <v>740</v>
      </c>
      <c r="D498" s="21" t="s">
        <v>741</v>
      </c>
      <c r="E498" s="20">
        <v>149</v>
      </c>
      <c r="F498" s="20">
        <v>149</v>
      </c>
      <c r="G498" s="22">
        <v>0.7</v>
      </c>
      <c r="H498" s="23">
        <v>9.9999999999999993E-40</v>
      </c>
      <c r="I498" s="20">
        <v>44.69</v>
      </c>
      <c r="J498" s="20"/>
    </row>
    <row r="499" spans="1:10" x14ac:dyDescent="0.2">
      <c r="A499" s="20" t="str">
        <f>HYPERLINK("https://www.ncbi.nlm.nih.gov/protein/XP_031201661.1?report=genbank&amp;log$=prottop&amp;blast_rank=170&amp;RID=DNNRD06A013","XP_031201661.1")</f>
        <v>XP_031201661.1</v>
      </c>
      <c r="B499" s="45">
        <v>343</v>
      </c>
      <c r="C499" s="20" t="s">
        <v>742</v>
      </c>
      <c r="D499" s="21" t="s">
        <v>741</v>
      </c>
      <c r="E499" s="20">
        <v>334</v>
      </c>
      <c r="F499" s="20">
        <v>334</v>
      </c>
      <c r="G499" s="22">
        <v>0.78</v>
      </c>
      <c r="H499" s="23">
        <v>8.9999999999999999E-111</v>
      </c>
      <c r="I499" s="20">
        <v>79.180000000000007</v>
      </c>
      <c r="J499" s="20"/>
    </row>
    <row r="500" spans="1:10" x14ac:dyDescent="0.2">
      <c r="A500" s="20" t="str">
        <f>HYPERLINK("https://www.ncbi.nlm.nih.gov/protein/XP_044856349.1?report=genbank&amp;log$=prottop&amp;blast_rank=411&amp;RID=DNNRD06A013","XP_044856349.1")</f>
        <v>XP_044856349.1</v>
      </c>
      <c r="B500" s="45">
        <v>221</v>
      </c>
      <c r="C500" s="20" t="s">
        <v>743</v>
      </c>
      <c r="D500" s="21" t="s">
        <v>744</v>
      </c>
      <c r="E500" s="20">
        <v>143</v>
      </c>
      <c r="F500" s="20">
        <v>143</v>
      </c>
      <c r="G500" s="22">
        <v>0.72</v>
      </c>
      <c r="H500" s="23">
        <v>1.0000000000000001E-37</v>
      </c>
      <c r="I500" s="20">
        <v>42.11</v>
      </c>
      <c r="J500" s="20"/>
    </row>
    <row r="501" spans="1:10" x14ac:dyDescent="0.2">
      <c r="A501" s="20" t="str">
        <f>HYPERLINK("https://www.ncbi.nlm.nih.gov/protein/XP_039366396.1?report=genbank&amp;log$=prottop&amp;blast_rank=395&amp;RID=DNNRD06A013","XP_039366396.1")</f>
        <v>XP_039366396.1</v>
      </c>
      <c r="B501" s="45">
        <v>221</v>
      </c>
      <c r="C501" s="20" t="s">
        <v>745</v>
      </c>
      <c r="D501" s="21" t="s">
        <v>746</v>
      </c>
      <c r="E501" s="20">
        <v>145</v>
      </c>
      <c r="F501" s="20">
        <v>145</v>
      </c>
      <c r="G501" s="22">
        <v>0.72</v>
      </c>
      <c r="H501" s="23">
        <v>1.9999999999999999E-38</v>
      </c>
      <c r="I501" s="20">
        <v>42.11</v>
      </c>
      <c r="J501" s="20"/>
    </row>
    <row r="502" spans="1:10" x14ac:dyDescent="0.2">
      <c r="A502" s="20" t="str">
        <f>HYPERLINK("https://www.ncbi.nlm.nih.gov/protein/XP_003704631.1?report=genbank&amp;log$=prottop&amp;blast_rank=753&amp;RID=DNNRD06A013","XP_003704631.1")</f>
        <v>XP_003704631.1</v>
      </c>
      <c r="B502" s="45">
        <v>317</v>
      </c>
      <c r="C502" s="20" t="s">
        <v>747</v>
      </c>
      <c r="D502" s="21" t="s">
        <v>748</v>
      </c>
      <c r="E502" s="20">
        <v>65.099999999999994</v>
      </c>
      <c r="F502" s="20">
        <v>65.099999999999994</v>
      </c>
      <c r="G502" s="22">
        <v>0.5</v>
      </c>
      <c r="H502" s="23">
        <v>4.9999999999999998E-8</v>
      </c>
      <c r="I502" s="20">
        <v>29.81</v>
      </c>
      <c r="J502" s="20"/>
    </row>
    <row r="503" spans="1:10" x14ac:dyDescent="0.2">
      <c r="A503" s="20" t="str">
        <f>HYPERLINK("https://www.ncbi.nlm.nih.gov/protein/XP_033323616.1?report=genbank&amp;log$=prottop&amp;blast_rank=817&amp;RID=DNNRD06A013","XP_033323616.1")</f>
        <v>XP_033323616.1</v>
      </c>
      <c r="B503" s="45">
        <v>332</v>
      </c>
      <c r="C503" s="20" t="s">
        <v>749</v>
      </c>
      <c r="D503" s="21" t="s">
        <v>750</v>
      </c>
      <c r="E503" s="20">
        <v>58.5</v>
      </c>
      <c r="F503" s="20">
        <v>58.5</v>
      </c>
      <c r="G503" s="22">
        <v>0.47</v>
      </c>
      <c r="H503" s="23">
        <v>6.9999999999999999E-6</v>
      </c>
      <c r="I503" s="20">
        <v>34.21</v>
      </c>
      <c r="J503" s="20"/>
    </row>
    <row r="504" spans="1:10" x14ac:dyDescent="0.2">
      <c r="A504" s="20" t="str">
        <f>HYPERLINK("https://www.ncbi.nlm.nih.gov/protein/XP_033323617.1?report=genbank&amp;log$=prottop&amp;blast_rank=794&amp;RID=DNNRD06A013","XP_033323617.1")</f>
        <v>XP_033323617.1</v>
      </c>
      <c r="B504" s="45">
        <v>298</v>
      </c>
      <c r="C504" s="20" t="s">
        <v>751</v>
      </c>
      <c r="D504" s="21" t="s">
        <v>750</v>
      </c>
      <c r="E504" s="20">
        <v>59.7</v>
      </c>
      <c r="F504" s="20">
        <v>59.7</v>
      </c>
      <c r="G504" s="22">
        <v>0.47</v>
      </c>
      <c r="H504" s="23">
        <v>3.0000000000000001E-6</v>
      </c>
      <c r="I504" s="20">
        <v>33.549999999999997</v>
      </c>
      <c r="J504" s="20"/>
    </row>
    <row r="505" spans="1:10" x14ac:dyDescent="0.2">
      <c r="A505" s="20" t="str">
        <f>HYPERLINK("https://www.ncbi.nlm.nih.gov/protein/XP_033326094.1?report=genbank&amp;log$=prottop&amp;blast_rank=792&amp;RID=DNNRD06A013","XP_033326094.1")</f>
        <v>XP_033326094.1</v>
      </c>
      <c r="B505" s="45">
        <v>321</v>
      </c>
      <c r="C505" s="20" t="s">
        <v>752</v>
      </c>
      <c r="D505" s="21" t="s">
        <v>750</v>
      </c>
      <c r="E505" s="20">
        <v>59.7</v>
      </c>
      <c r="F505" s="20">
        <v>59.7</v>
      </c>
      <c r="G505" s="22">
        <v>0.42</v>
      </c>
      <c r="H505" s="23">
        <v>3.0000000000000001E-6</v>
      </c>
      <c r="I505" s="20">
        <v>34.33</v>
      </c>
      <c r="J505" s="20"/>
    </row>
    <row r="506" spans="1:10" x14ac:dyDescent="0.2">
      <c r="A506" s="20" t="str">
        <f>HYPERLINK("https://www.ncbi.nlm.nih.gov/protein/XP_033326097.1?report=genbank&amp;log$=prottop&amp;blast_rank=789&amp;RID=DNNRD06A013","XP_033326097.1")</f>
        <v>XP_033326097.1</v>
      </c>
      <c r="B506" s="45">
        <v>305</v>
      </c>
      <c r="C506" s="20" t="s">
        <v>753</v>
      </c>
      <c r="D506" s="21" t="s">
        <v>750</v>
      </c>
      <c r="E506" s="20">
        <v>60.1</v>
      </c>
      <c r="F506" s="20">
        <v>60.1</v>
      </c>
      <c r="G506" s="22">
        <v>0.42</v>
      </c>
      <c r="H506" s="23">
        <v>1.9999999999999999E-6</v>
      </c>
      <c r="I506" s="20">
        <v>34.33</v>
      </c>
      <c r="J506" s="20"/>
    </row>
    <row r="507" spans="1:10" x14ac:dyDescent="0.2">
      <c r="A507" s="20" t="str">
        <f>HYPERLINK("https://www.ncbi.nlm.nih.gov/protein/XP_045851963.1?report=genbank&amp;log$=prottop&amp;blast_rank=257&amp;RID=DNNRD06A013","XP_045851963.1")</f>
        <v>XP_045851963.1</v>
      </c>
      <c r="B507" s="45">
        <v>236</v>
      </c>
      <c r="C507" s="20" t="s">
        <v>754</v>
      </c>
      <c r="D507" s="21" t="s">
        <v>755</v>
      </c>
      <c r="E507" s="20">
        <v>154</v>
      </c>
      <c r="F507" s="20">
        <v>154</v>
      </c>
      <c r="G507" s="22">
        <v>0.7</v>
      </c>
      <c r="H507" s="23">
        <v>1E-41</v>
      </c>
      <c r="I507" s="20">
        <v>47.35</v>
      </c>
      <c r="J507" s="20"/>
    </row>
    <row r="508" spans="1:10" x14ac:dyDescent="0.2">
      <c r="A508" s="20" t="str">
        <f>HYPERLINK("https://www.ncbi.nlm.nih.gov/protein/XP_045846024.1?report=genbank&amp;log$=prottop&amp;blast_rank=104&amp;RID=DNNRD06A013","XP_045846024.1")</f>
        <v>XP_045846024.1</v>
      </c>
      <c r="B508" s="45">
        <v>313</v>
      </c>
      <c r="C508" s="20" t="s">
        <v>756</v>
      </c>
      <c r="D508" s="21" t="s">
        <v>755</v>
      </c>
      <c r="E508" s="20">
        <v>387</v>
      </c>
      <c r="F508" s="20">
        <v>387</v>
      </c>
      <c r="G508" s="22">
        <v>1</v>
      </c>
      <c r="H508" s="23">
        <v>5.9999999999999999E-132</v>
      </c>
      <c r="I508" s="20">
        <v>77.709999999999994</v>
      </c>
      <c r="J508" s="20"/>
    </row>
    <row r="509" spans="1:10" x14ac:dyDescent="0.2">
      <c r="A509" s="20" t="str">
        <f>HYPERLINK("https://www.ncbi.nlm.nih.gov/protein/XP_045455960.1?report=genbank&amp;log$=prottop&amp;blast_rank=576&amp;RID=DNNRD06A013","XP_045455960.1")</f>
        <v>XP_045455960.1</v>
      </c>
      <c r="B509" s="45">
        <v>261</v>
      </c>
      <c r="C509" s="20" t="s">
        <v>757</v>
      </c>
      <c r="D509" s="21" t="s">
        <v>758</v>
      </c>
      <c r="E509" s="20">
        <v>83.6</v>
      </c>
      <c r="F509" s="20">
        <v>83.6</v>
      </c>
      <c r="G509" s="22">
        <v>0.69</v>
      </c>
      <c r="H509" s="23">
        <v>1E-14</v>
      </c>
      <c r="I509" s="20">
        <v>26.98</v>
      </c>
      <c r="J509" s="20"/>
    </row>
    <row r="510" spans="1:10" x14ac:dyDescent="0.2">
      <c r="A510" s="20" t="str">
        <f>HYPERLINK("https://www.ncbi.nlm.nih.gov/protein/XP_045455832.1?report=genbank&amp;log$=prottop&amp;blast_rank=698&amp;RID=DNNRD06A013","XP_045455832.1")</f>
        <v>XP_045455832.1</v>
      </c>
      <c r="B510" s="45">
        <v>287</v>
      </c>
      <c r="C510" s="20" t="s">
        <v>757</v>
      </c>
      <c r="D510" s="21" t="s">
        <v>758</v>
      </c>
      <c r="E510" s="20">
        <v>71.599999999999994</v>
      </c>
      <c r="F510" s="20">
        <v>71.599999999999994</v>
      </c>
      <c r="G510" s="22">
        <v>0.45</v>
      </c>
      <c r="H510" s="23">
        <v>2.0000000000000001E-10</v>
      </c>
      <c r="I510" s="20">
        <v>32.65</v>
      </c>
      <c r="J510" s="20"/>
    </row>
    <row r="511" spans="1:10" x14ac:dyDescent="0.2">
      <c r="A511" s="20" t="str">
        <f>HYPERLINK("https://www.ncbi.nlm.nih.gov/protein/XP_045455839.1?report=genbank&amp;log$=prottop&amp;blast_rank=679&amp;RID=DNNRD06A013","XP_045455839.1")</f>
        <v>XP_045455839.1</v>
      </c>
      <c r="B511" s="45">
        <v>291</v>
      </c>
      <c r="C511" s="20" t="s">
        <v>757</v>
      </c>
      <c r="D511" s="21" t="s">
        <v>758</v>
      </c>
      <c r="E511" s="20">
        <v>74.3</v>
      </c>
      <c r="F511" s="20">
        <v>74.3</v>
      </c>
      <c r="G511" s="22">
        <v>0.5</v>
      </c>
      <c r="H511" s="23">
        <v>3E-11</v>
      </c>
      <c r="I511" s="20">
        <v>33.130000000000003</v>
      </c>
      <c r="J511" s="20"/>
    </row>
    <row r="512" spans="1:10" x14ac:dyDescent="0.2">
      <c r="A512" s="20" t="str">
        <f>HYPERLINK("https://www.ncbi.nlm.nih.gov/protein/XP_045191974.1?report=genbank&amp;log$=prottop&amp;blast_rank=518&amp;RID=DNNRD06A013","XP_045191974.1")</f>
        <v>XP_045191974.1</v>
      </c>
      <c r="B512" s="45">
        <v>246</v>
      </c>
      <c r="C512" s="20" t="s">
        <v>759</v>
      </c>
      <c r="D512" s="21" t="s">
        <v>760</v>
      </c>
      <c r="E512" s="20">
        <v>97.1</v>
      </c>
      <c r="F512" s="20">
        <v>97.1</v>
      </c>
      <c r="G512" s="22">
        <v>0.49</v>
      </c>
      <c r="H512" s="23">
        <v>7.9999999999999996E-20</v>
      </c>
      <c r="I512" s="20">
        <v>40</v>
      </c>
      <c r="J512" s="20"/>
    </row>
    <row r="513" spans="1:10" x14ac:dyDescent="0.2">
      <c r="A513" s="20" t="str">
        <f>HYPERLINK("https://www.ncbi.nlm.nih.gov/protein/XP_045208521.1?report=genbank&amp;log$=prottop&amp;blast_rank=452&amp;RID=DNNRD06A013","XP_045208521.1")</f>
        <v>XP_045208521.1</v>
      </c>
      <c r="B513" s="45">
        <v>285</v>
      </c>
      <c r="C513" s="20" t="s">
        <v>761</v>
      </c>
      <c r="D513" s="21" t="s">
        <v>760</v>
      </c>
      <c r="E513" s="20">
        <v>125</v>
      </c>
      <c r="F513" s="20">
        <v>125</v>
      </c>
      <c r="G513" s="22">
        <v>0.71</v>
      </c>
      <c r="H513" s="23">
        <v>4.0000000000000003E-30</v>
      </c>
      <c r="I513" s="20">
        <v>32.5</v>
      </c>
      <c r="J513" s="20"/>
    </row>
    <row r="514" spans="1:10" x14ac:dyDescent="0.2">
      <c r="A514" s="20" t="str">
        <f>HYPERLINK("https://www.ncbi.nlm.nih.gov/protein/XP_045208528.1?report=genbank&amp;log$=prottop&amp;blast_rank=451&amp;RID=DNNRD06A013","XP_045208528.1")</f>
        <v>XP_045208528.1</v>
      </c>
      <c r="B514" s="45">
        <v>284</v>
      </c>
      <c r="C514" s="20" t="s">
        <v>762</v>
      </c>
      <c r="D514" s="21" t="s">
        <v>760</v>
      </c>
      <c r="E514" s="20">
        <v>125</v>
      </c>
      <c r="F514" s="20">
        <v>125</v>
      </c>
      <c r="G514" s="22">
        <v>0.71</v>
      </c>
      <c r="H514" s="23">
        <v>4.0000000000000003E-30</v>
      </c>
      <c r="I514" s="20">
        <v>32.5</v>
      </c>
      <c r="J514" s="20"/>
    </row>
    <row r="515" spans="1:10" x14ac:dyDescent="0.2">
      <c r="A515" s="20" t="str">
        <f>HYPERLINK("https://www.ncbi.nlm.nih.gov/protein/XP_045158576.1?report=genbank&amp;log$=prottop&amp;blast_rank=868&amp;RID=DNNRD06A013","XP_045158576.1")</f>
        <v>XP_045158576.1</v>
      </c>
      <c r="B515" s="45">
        <v>381</v>
      </c>
      <c r="C515" s="20" t="s">
        <v>763</v>
      </c>
      <c r="D515" s="21" t="s">
        <v>760</v>
      </c>
      <c r="E515" s="20">
        <v>54.7</v>
      </c>
      <c r="F515" s="20">
        <v>54.7</v>
      </c>
      <c r="G515" s="22">
        <v>0.64</v>
      </c>
      <c r="H515" s="23">
        <v>1E-4</v>
      </c>
      <c r="I515" s="20">
        <v>25.36</v>
      </c>
      <c r="J515" s="20"/>
    </row>
    <row r="516" spans="1:10" x14ac:dyDescent="0.2">
      <c r="A516" s="20" t="str">
        <f>HYPERLINK("https://www.ncbi.nlm.nih.gov/protein/XP_045172804.1?report=genbank&amp;log$=prottop&amp;blast_rank=852&amp;RID=DNNRD06A013","XP_045172804.1")</f>
        <v>XP_045172804.1</v>
      </c>
      <c r="B516" s="45">
        <v>422</v>
      </c>
      <c r="C516" s="20" t="s">
        <v>764</v>
      </c>
      <c r="D516" s="21" t="s">
        <v>760</v>
      </c>
      <c r="E516" s="20">
        <v>56.6</v>
      </c>
      <c r="F516" s="20">
        <v>56.6</v>
      </c>
      <c r="G516" s="22">
        <v>0.64</v>
      </c>
      <c r="H516" s="23">
        <v>4.0000000000000003E-5</v>
      </c>
      <c r="I516" s="20">
        <v>25.36</v>
      </c>
      <c r="J516" s="20"/>
    </row>
    <row r="517" spans="1:10" x14ac:dyDescent="0.2">
      <c r="A517" s="20" t="str">
        <f>HYPERLINK("https://www.ncbi.nlm.nih.gov/protein/XP_045177146.1?report=genbank&amp;log$=prottop&amp;blast_rank=845&amp;RID=DNNRD06A013","XP_045177146.1")</f>
        <v>XP_045177146.1</v>
      </c>
      <c r="B517" s="45">
        <v>381</v>
      </c>
      <c r="C517" s="20" t="s">
        <v>765</v>
      </c>
      <c r="D517" s="21" t="s">
        <v>760</v>
      </c>
      <c r="E517" s="20">
        <v>57</v>
      </c>
      <c r="F517" s="20">
        <v>57</v>
      </c>
      <c r="G517" s="22">
        <v>0.64</v>
      </c>
      <c r="H517" s="23">
        <v>3.0000000000000001E-5</v>
      </c>
      <c r="I517" s="20">
        <v>25.36</v>
      </c>
      <c r="J517" s="20"/>
    </row>
    <row r="518" spans="1:10" x14ac:dyDescent="0.2">
      <c r="A518" s="20" t="str">
        <f>HYPERLINK("https://www.ncbi.nlm.nih.gov/protein/XP_045177149.1?report=genbank&amp;log$=prottop&amp;blast_rank=844&amp;RID=DNNRD06A013","XP_045177149.1")</f>
        <v>XP_045177149.1</v>
      </c>
      <c r="B518" s="45">
        <v>359</v>
      </c>
      <c r="C518" s="20" t="s">
        <v>766</v>
      </c>
      <c r="D518" s="21" t="s">
        <v>760</v>
      </c>
      <c r="E518" s="20">
        <v>57</v>
      </c>
      <c r="F518" s="20">
        <v>57</v>
      </c>
      <c r="G518" s="22">
        <v>0.64</v>
      </c>
      <c r="H518" s="23">
        <v>3.0000000000000001E-5</v>
      </c>
      <c r="I518" s="20">
        <v>25.36</v>
      </c>
      <c r="J518" s="20"/>
    </row>
    <row r="519" spans="1:10" x14ac:dyDescent="0.2">
      <c r="A519" s="20" t="str">
        <f>HYPERLINK("https://www.ncbi.nlm.nih.gov/protein/XP_045183390.1?report=genbank&amp;log$=prottop&amp;blast_rank=870&amp;RID=DNNRD06A013","XP_045183390.1")</f>
        <v>XP_045183390.1</v>
      </c>
      <c r="B519" s="45">
        <v>284</v>
      </c>
      <c r="C519" s="20" t="s">
        <v>767</v>
      </c>
      <c r="D519" s="21" t="s">
        <v>760</v>
      </c>
      <c r="E519" s="20">
        <v>54.3</v>
      </c>
      <c r="F519" s="20">
        <v>54.3</v>
      </c>
      <c r="G519" s="22">
        <v>0.46</v>
      </c>
      <c r="H519" s="23">
        <v>2.0000000000000001E-4</v>
      </c>
      <c r="I519" s="20">
        <v>27.33</v>
      </c>
      <c r="J519" s="20"/>
    </row>
    <row r="520" spans="1:10" x14ac:dyDescent="0.2">
      <c r="A520" s="20" t="str">
        <f>HYPERLINK("https://www.ncbi.nlm.nih.gov/protein/XP_045194311.1?report=genbank&amp;log$=prottop&amp;blast_rank=851&amp;RID=DNNRD06A013","XP_045194311.1")</f>
        <v>XP_045194311.1</v>
      </c>
      <c r="B520" s="45">
        <v>359</v>
      </c>
      <c r="C520" s="20" t="s">
        <v>768</v>
      </c>
      <c r="D520" s="21" t="s">
        <v>760</v>
      </c>
      <c r="E520" s="20">
        <v>56.6</v>
      </c>
      <c r="F520" s="20">
        <v>56.6</v>
      </c>
      <c r="G520" s="22">
        <v>0.64</v>
      </c>
      <c r="H520" s="23">
        <v>4.0000000000000003E-5</v>
      </c>
      <c r="I520" s="20">
        <v>24.88</v>
      </c>
      <c r="J520" s="20"/>
    </row>
    <row r="521" spans="1:10" x14ac:dyDescent="0.2">
      <c r="A521" s="20" t="str">
        <f>HYPERLINK("https://www.ncbi.nlm.nih.gov/protein/XP_045208774.1?report=genbank&amp;log$=prottop&amp;blast_rank=887&amp;RID=DNNRD06A013","XP_045208774.1")</f>
        <v>XP_045208774.1</v>
      </c>
      <c r="B521" s="45">
        <v>373</v>
      </c>
      <c r="C521" s="20" t="s">
        <v>769</v>
      </c>
      <c r="D521" s="21" t="s">
        <v>760</v>
      </c>
      <c r="E521" s="20">
        <v>50.8</v>
      </c>
      <c r="F521" s="20">
        <v>50.8</v>
      </c>
      <c r="G521" s="22">
        <v>0.28000000000000003</v>
      </c>
      <c r="H521" s="20">
        <v>3.0000000000000001E-3</v>
      </c>
      <c r="I521" s="20">
        <v>35.159999999999997</v>
      </c>
      <c r="J521" s="20"/>
    </row>
    <row r="522" spans="1:10" x14ac:dyDescent="0.2">
      <c r="A522" s="20" t="str">
        <f>HYPERLINK("https://www.ncbi.nlm.nih.gov/protein/XP_045212213.1?report=genbank&amp;log$=prottop&amp;blast_rank=897&amp;RID=DNNRD06A013","XP_045212213.1")</f>
        <v>XP_045212213.1</v>
      </c>
      <c r="B522" s="45">
        <v>252</v>
      </c>
      <c r="C522" s="20" t="s">
        <v>770</v>
      </c>
      <c r="D522" s="21" t="s">
        <v>760</v>
      </c>
      <c r="E522" s="20">
        <v>48.5</v>
      </c>
      <c r="F522" s="20">
        <v>48.5</v>
      </c>
      <c r="G522" s="22">
        <v>0.28999999999999998</v>
      </c>
      <c r="H522" s="20">
        <v>1.2E-2</v>
      </c>
      <c r="I522" s="20">
        <v>31.25</v>
      </c>
      <c r="J522" s="20"/>
    </row>
    <row r="523" spans="1:10" x14ac:dyDescent="0.2">
      <c r="A523" s="20" t="str">
        <f>HYPERLINK("https://www.ncbi.nlm.nih.gov/protein/XP_045213764.1?report=genbank&amp;log$=prottop&amp;blast_rank=854&amp;RID=DNNRD06A013","XP_045213764.1")</f>
        <v>XP_045213764.1</v>
      </c>
      <c r="B523" s="45">
        <v>395</v>
      </c>
      <c r="C523" s="20" t="s">
        <v>771</v>
      </c>
      <c r="D523" s="21" t="s">
        <v>760</v>
      </c>
      <c r="E523" s="20">
        <v>56.2</v>
      </c>
      <c r="F523" s="20">
        <v>56.2</v>
      </c>
      <c r="G523" s="22">
        <v>0.64</v>
      </c>
      <c r="H523" s="23">
        <v>6.0000000000000002E-5</v>
      </c>
      <c r="I523" s="20">
        <v>25.36</v>
      </c>
      <c r="J523" s="20"/>
    </row>
    <row r="524" spans="1:10" x14ac:dyDescent="0.2">
      <c r="A524" s="20" t="str">
        <f>HYPERLINK("https://www.ncbi.nlm.nih.gov/protein/XP_021483625.1?report=genbank&amp;log$=prottop&amp;blast_rank=390&amp;RID=DNNRD06A013","XP_021483625.1")</f>
        <v>XP_021483625.1</v>
      </c>
      <c r="B524" s="45">
        <v>236</v>
      </c>
      <c r="C524" s="20" t="s">
        <v>772</v>
      </c>
      <c r="D524" s="21" t="s">
        <v>773</v>
      </c>
      <c r="E524" s="20">
        <v>146</v>
      </c>
      <c r="F524" s="20">
        <v>146</v>
      </c>
      <c r="G524" s="22">
        <v>0.7</v>
      </c>
      <c r="H524" s="23">
        <v>9.9999999999999996E-39</v>
      </c>
      <c r="I524" s="20">
        <v>44.25</v>
      </c>
      <c r="J524" s="20"/>
    </row>
    <row r="525" spans="1:10" x14ac:dyDescent="0.2">
      <c r="A525" s="20" t="str">
        <f>HYPERLINK("https://www.ncbi.nlm.nih.gov/protein/XP_021519040.1?report=genbank&amp;log$=prottop&amp;blast_rank=150&amp;RID=DNNRD06A013","XP_021519040.1")</f>
        <v>XP_021519040.1</v>
      </c>
      <c r="B525" s="45">
        <v>344</v>
      </c>
      <c r="C525" s="20" t="s">
        <v>774</v>
      </c>
      <c r="D525" s="21" t="s">
        <v>773</v>
      </c>
      <c r="E525" s="20">
        <v>358</v>
      </c>
      <c r="F525" s="20">
        <v>358</v>
      </c>
      <c r="G525" s="22">
        <v>1</v>
      </c>
      <c r="H525" s="23">
        <v>3.9999999999999999E-120</v>
      </c>
      <c r="I525" s="20">
        <v>72.7</v>
      </c>
      <c r="J525" s="20"/>
    </row>
    <row r="526" spans="1:10" x14ac:dyDescent="0.2">
      <c r="A526" s="20" t="str">
        <f>HYPERLINK("https://www.ncbi.nlm.nih.gov/protein/XP_012981323.1?report=genbank&amp;log$=prottop&amp;blast_rank=263&amp;RID=DNNRD06A013","XP_012981323.1")</f>
        <v>XP_012981323.1</v>
      </c>
      <c r="B526" s="45">
        <v>236</v>
      </c>
      <c r="C526" s="20" t="s">
        <v>775</v>
      </c>
      <c r="D526" s="21" t="s">
        <v>776</v>
      </c>
      <c r="E526" s="20">
        <v>153</v>
      </c>
      <c r="F526" s="20">
        <v>153</v>
      </c>
      <c r="G526" s="22">
        <v>0.7</v>
      </c>
      <c r="H526" s="23">
        <v>2E-41</v>
      </c>
      <c r="I526" s="20">
        <v>45.13</v>
      </c>
      <c r="J526" s="20"/>
    </row>
    <row r="527" spans="1:10" x14ac:dyDescent="0.2">
      <c r="A527" s="20" t="str">
        <f>HYPERLINK("https://www.ncbi.nlm.nih.gov/protein/XP_005075027.2?report=genbank&amp;log$=prottop&amp;blast_rank=143&amp;RID=DNNRD06A013","XP_005075027.2")</f>
        <v>XP_005075027.2</v>
      </c>
      <c r="B527" s="45">
        <v>361</v>
      </c>
      <c r="C527" s="20" t="s">
        <v>777</v>
      </c>
      <c r="D527" s="21" t="s">
        <v>776</v>
      </c>
      <c r="E527" s="20">
        <v>362</v>
      </c>
      <c r="F527" s="20">
        <v>362</v>
      </c>
      <c r="G527" s="22">
        <v>1</v>
      </c>
      <c r="H527" s="23">
        <v>2.9999999999999999E-121</v>
      </c>
      <c r="I527" s="20">
        <v>75.56</v>
      </c>
      <c r="J527" s="20"/>
    </row>
    <row r="528" spans="1:10" x14ac:dyDescent="0.2">
      <c r="A528" s="20" t="str">
        <f>HYPERLINK("https://www.ncbi.nlm.nih.gov/protein/XP_030048270.1?report=genbank&amp;log$=prottop&amp;blast_rank=407&amp;RID=DNNRD06A013","XP_030048270.1")</f>
        <v>XP_030048270.1</v>
      </c>
      <c r="B528" s="45">
        <v>271</v>
      </c>
      <c r="C528" s="20" t="s">
        <v>778</v>
      </c>
      <c r="D528" s="21" t="s">
        <v>779</v>
      </c>
      <c r="E528" s="20">
        <v>145</v>
      </c>
      <c r="F528" s="20">
        <v>145</v>
      </c>
      <c r="G528" s="22">
        <v>0.71</v>
      </c>
      <c r="H528" s="23">
        <v>1.0000000000000001E-37</v>
      </c>
      <c r="I528" s="20">
        <v>41.33</v>
      </c>
      <c r="J528" s="20"/>
    </row>
    <row r="529" spans="1:10" x14ac:dyDescent="0.2">
      <c r="A529" s="20" t="str">
        <f>HYPERLINK("https://www.ncbi.nlm.nih.gov/protein/XP_030048271.1?report=genbank&amp;log$=prottop&amp;blast_rank=440&amp;RID=DNNRD06A013","XP_030048271.1")</f>
        <v>XP_030048271.1</v>
      </c>
      <c r="B529" s="45">
        <v>224</v>
      </c>
      <c r="C529" s="20" t="s">
        <v>780</v>
      </c>
      <c r="D529" s="21" t="s">
        <v>779</v>
      </c>
      <c r="E529" s="20">
        <v>133</v>
      </c>
      <c r="F529" s="20">
        <v>133</v>
      </c>
      <c r="G529" s="22">
        <v>0.71</v>
      </c>
      <c r="H529" s="23">
        <v>7.9999999999999994E-34</v>
      </c>
      <c r="I529" s="20">
        <v>40.79</v>
      </c>
      <c r="J529" s="20"/>
    </row>
    <row r="530" spans="1:10" x14ac:dyDescent="0.2">
      <c r="A530" s="20" t="str">
        <f>HYPERLINK("https://www.ncbi.nlm.nih.gov/protein/XP_030062043.1?report=genbank&amp;log$=prottop&amp;blast_rank=198&amp;RID=DNNRD06A013","XP_030062043.1")</f>
        <v>XP_030062043.1</v>
      </c>
      <c r="B530" s="45">
        <v>333</v>
      </c>
      <c r="C530" s="20" t="s">
        <v>781</v>
      </c>
      <c r="D530" s="21" t="s">
        <v>779</v>
      </c>
      <c r="E530" s="20">
        <v>213</v>
      </c>
      <c r="F530" s="20">
        <v>213</v>
      </c>
      <c r="G530" s="22">
        <v>0.76</v>
      </c>
      <c r="H530" s="23">
        <v>2.0000000000000001E-63</v>
      </c>
      <c r="I530" s="20">
        <v>47.18</v>
      </c>
      <c r="J530" s="20"/>
    </row>
    <row r="531" spans="1:10" x14ac:dyDescent="0.2">
      <c r="A531" s="20" t="str">
        <f>HYPERLINK("https://www.ncbi.nlm.nih.gov/protein/XP_012612722.1?report=genbank&amp;log$=prottop&amp;blast_rank=393&amp;RID=DNNRD06A013","XP_012612722.1")</f>
        <v>XP_012612722.1</v>
      </c>
      <c r="B531" s="45">
        <v>236</v>
      </c>
      <c r="C531" s="20" t="s">
        <v>782</v>
      </c>
      <c r="D531" s="21" t="s">
        <v>783</v>
      </c>
      <c r="E531" s="20">
        <v>146</v>
      </c>
      <c r="F531" s="20">
        <v>146</v>
      </c>
      <c r="G531" s="22">
        <v>0.7</v>
      </c>
      <c r="H531" s="23">
        <v>9.9999999999999996E-39</v>
      </c>
      <c r="I531" s="20">
        <v>45.13</v>
      </c>
      <c r="J531" s="20"/>
    </row>
    <row r="532" spans="1:10" x14ac:dyDescent="0.2">
      <c r="A532" s="20" t="str">
        <f>HYPERLINK("https://www.ncbi.nlm.nih.gov/protein/XP_012626631.1?report=genbank&amp;log$=prottop&amp;blast_rank=29&amp;RID=DNNRD06A013","XP_012626631.1")</f>
        <v>XP_012626631.1</v>
      </c>
      <c r="B532" s="45">
        <v>314</v>
      </c>
      <c r="C532" s="20" t="s">
        <v>784</v>
      </c>
      <c r="D532" s="21" t="s">
        <v>783</v>
      </c>
      <c r="E532" s="20">
        <v>418</v>
      </c>
      <c r="F532" s="20">
        <v>418</v>
      </c>
      <c r="G532" s="22">
        <v>1</v>
      </c>
      <c r="H532" s="23">
        <v>2.9999999999999999E-144</v>
      </c>
      <c r="I532" s="20">
        <v>88.54</v>
      </c>
      <c r="J532" s="20"/>
    </row>
    <row r="533" spans="1:10" x14ac:dyDescent="0.2">
      <c r="A533" s="20" t="str">
        <f>HYPERLINK("https://www.ncbi.nlm.nih.gov/protein/XP_005371887.1?report=genbank&amp;log$=prottop&amp;blast_rank=345&amp;RID=DNNRD06A013","XP_005371887.1")</f>
        <v>XP_005371887.1</v>
      </c>
      <c r="B533" s="45">
        <v>236</v>
      </c>
      <c r="C533" s="20" t="s">
        <v>785</v>
      </c>
      <c r="D533" s="21" t="s">
        <v>786</v>
      </c>
      <c r="E533" s="20">
        <v>150</v>
      </c>
      <c r="F533" s="20">
        <v>150</v>
      </c>
      <c r="G533" s="22">
        <v>0.7</v>
      </c>
      <c r="H533" s="23">
        <v>4.9999999999999996E-40</v>
      </c>
      <c r="I533" s="20">
        <v>45.13</v>
      </c>
      <c r="J533" s="20"/>
    </row>
    <row r="534" spans="1:10" x14ac:dyDescent="0.2">
      <c r="A534" s="20" t="str">
        <f>HYPERLINK("https://www.ncbi.nlm.nih.gov/protein/XP_005348018.1?report=genbank&amp;log$=prottop&amp;blast_rank=140&amp;RID=DNNRD06A013","XP_005348018.1")</f>
        <v>XP_005348018.1</v>
      </c>
      <c r="B534" s="45">
        <v>313</v>
      </c>
      <c r="C534" s="20" t="s">
        <v>787</v>
      </c>
      <c r="D534" s="21" t="s">
        <v>786</v>
      </c>
      <c r="E534" s="20">
        <v>361</v>
      </c>
      <c r="F534" s="20">
        <v>361</v>
      </c>
      <c r="G534" s="22">
        <v>1</v>
      </c>
      <c r="H534" s="23">
        <v>8.0000000000000005E-122</v>
      </c>
      <c r="I534" s="20">
        <v>76.83</v>
      </c>
      <c r="J534" s="20"/>
    </row>
    <row r="535" spans="1:10" x14ac:dyDescent="0.2">
      <c r="A535" s="20" t="str">
        <f>HYPERLINK("https://www.ncbi.nlm.nih.gov/protein/XP_041492823.1?report=genbank&amp;log$=prottop&amp;blast_rank=338&amp;RID=DNNRD06A013","XP_041492823.1")</f>
        <v>XP_041492823.1</v>
      </c>
      <c r="B535" s="45">
        <v>236</v>
      </c>
      <c r="C535" s="20" t="s">
        <v>788</v>
      </c>
      <c r="D535" s="21" t="s">
        <v>789</v>
      </c>
      <c r="E535" s="20">
        <v>150</v>
      </c>
      <c r="F535" s="20">
        <v>150</v>
      </c>
      <c r="G535" s="22">
        <v>0.7</v>
      </c>
      <c r="H535" s="23">
        <v>3.9999999999999997E-40</v>
      </c>
      <c r="I535" s="20">
        <v>44.69</v>
      </c>
      <c r="J535" s="20"/>
    </row>
    <row r="536" spans="1:10" x14ac:dyDescent="0.2">
      <c r="A536" s="20" t="str">
        <f>HYPERLINK("https://www.ncbi.nlm.nih.gov/protein/XP_041532851.1?report=genbank&amp;log$=prottop&amp;blast_rank=129&amp;RID=DNNRD06A013","XP_041532851.1")</f>
        <v>XP_041532851.1</v>
      </c>
      <c r="B536" s="45">
        <v>313</v>
      </c>
      <c r="C536" s="20" t="s">
        <v>790</v>
      </c>
      <c r="D536" s="21" t="s">
        <v>789</v>
      </c>
      <c r="E536" s="20">
        <v>366</v>
      </c>
      <c r="F536" s="20">
        <v>366</v>
      </c>
      <c r="G536" s="22">
        <v>1</v>
      </c>
      <c r="H536" s="23">
        <v>8.9999999999999992E-124</v>
      </c>
      <c r="I536" s="20">
        <v>77.14</v>
      </c>
      <c r="J536" s="20"/>
    </row>
    <row r="537" spans="1:10" x14ac:dyDescent="0.2">
      <c r="A537" s="20" t="str">
        <f>HYPERLINK("https://www.ncbi.nlm.nih.gov/protein/XP_016070627.1?report=genbank&amp;log$=prottop&amp;blast_rank=361&amp;RID=DNNRD06A013","XP_016070627.1")</f>
        <v>XP_016070627.1</v>
      </c>
      <c r="B537" s="45">
        <v>236</v>
      </c>
      <c r="C537" s="20" t="s">
        <v>791</v>
      </c>
      <c r="D537" s="21" t="s">
        <v>792</v>
      </c>
      <c r="E537" s="20">
        <v>149</v>
      </c>
      <c r="F537" s="20">
        <v>149</v>
      </c>
      <c r="G537" s="22">
        <v>0.7</v>
      </c>
      <c r="H537" s="23">
        <v>7.9999999999999994E-40</v>
      </c>
      <c r="I537" s="20">
        <v>45.13</v>
      </c>
      <c r="J537" s="20"/>
    </row>
    <row r="538" spans="1:10" x14ac:dyDescent="0.2">
      <c r="A538" s="20" t="str">
        <f>HYPERLINK("https://www.ncbi.nlm.nih.gov/protein/XP_016058302.1?report=genbank&amp;log$=prottop&amp;blast_rank=123&amp;RID=DNNRD06A013","XP_016058302.1")</f>
        <v>XP_016058302.1</v>
      </c>
      <c r="B538" s="45">
        <v>313</v>
      </c>
      <c r="C538" s="20" t="s">
        <v>793</v>
      </c>
      <c r="D538" s="21" t="s">
        <v>792</v>
      </c>
      <c r="E538" s="20">
        <v>371</v>
      </c>
      <c r="F538" s="20">
        <v>371</v>
      </c>
      <c r="G538" s="22">
        <v>0.99</v>
      </c>
      <c r="H538" s="23">
        <v>1E-125</v>
      </c>
      <c r="I538" s="20">
        <v>79.17</v>
      </c>
      <c r="J538" s="20"/>
    </row>
    <row r="539" spans="1:10" x14ac:dyDescent="0.2">
      <c r="A539" s="20" t="str">
        <f>HYPERLINK("https://www.ncbi.nlm.nih.gov/protein/XP_045739848.1?report=genbank&amp;log$=prottop&amp;blast_rank=324&amp;RID=DNNRD06A013","XP_045739848.1")</f>
        <v>XP_045739848.1</v>
      </c>
      <c r="B539" s="45">
        <v>269</v>
      </c>
      <c r="C539" s="20" t="s">
        <v>794</v>
      </c>
      <c r="D539" s="21" t="s">
        <v>795</v>
      </c>
      <c r="E539" s="20">
        <v>152</v>
      </c>
      <c r="F539" s="20">
        <v>152</v>
      </c>
      <c r="G539" s="22">
        <v>0.7</v>
      </c>
      <c r="H539" s="23">
        <v>1.9999999999999999E-40</v>
      </c>
      <c r="I539" s="20">
        <v>47.79</v>
      </c>
      <c r="J539" s="20"/>
    </row>
    <row r="540" spans="1:10" x14ac:dyDescent="0.2">
      <c r="A540" s="20" t="str">
        <f>HYPERLINK("https://www.ncbi.nlm.nih.gov/protein/XP_034867383.1?report=genbank&amp;log$=prottop&amp;blast_rank=267&amp;RID=DNNRD06A013","XP_034867383.1")</f>
        <v>XP_034867383.1</v>
      </c>
      <c r="B540" s="45">
        <v>236</v>
      </c>
      <c r="C540" s="20" t="s">
        <v>796</v>
      </c>
      <c r="D540" s="21" t="s">
        <v>797</v>
      </c>
      <c r="E540" s="20">
        <v>153</v>
      </c>
      <c r="F540" s="20">
        <v>153</v>
      </c>
      <c r="G540" s="22">
        <v>0.7</v>
      </c>
      <c r="H540" s="23">
        <v>2.9999999999999999E-41</v>
      </c>
      <c r="I540" s="20">
        <v>47.79</v>
      </c>
      <c r="J540" s="20"/>
    </row>
    <row r="541" spans="1:10" x14ac:dyDescent="0.2">
      <c r="A541" s="20" t="str">
        <f>HYPERLINK("https://www.ncbi.nlm.nih.gov/protein/XP_034854059.1?report=genbank&amp;log$=prottop&amp;blast_rank=63&amp;RID=DNNRD06A013","XP_034854059.1")</f>
        <v>XP_034854059.1</v>
      </c>
      <c r="B541" s="45">
        <v>314</v>
      </c>
      <c r="C541" s="20" t="s">
        <v>798</v>
      </c>
      <c r="D541" s="21" t="s">
        <v>797</v>
      </c>
      <c r="E541" s="20">
        <v>402</v>
      </c>
      <c r="F541" s="20">
        <v>402</v>
      </c>
      <c r="G541" s="22">
        <v>1</v>
      </c>
      <c r="H541" s="23">
        <v>6.0000000000000001E-138</v>
      </c>
      <c r="I541" s="20">
        <v>80.25</v>
      </c>
      <c r="J541" s="20"/>
    </row>
    <row r="542" spans="1:10" x14ac:dyDescent="0.2">
      <c r="A542" s="20" t="str">
        <f>HYPERLINK("https://www.ncbi.nlm.nih.gov/protein/XP_021354633.1?report=genbank&amp;log$=prottop&amp;blast_rank=895&amp;RID=DNNRD06A013","XP_021354633.1")</f>
        <v>XP_021354633.1</v>
      </c>
      <c r="B542" s="45">
        <v>226</v>
      </c>
      <c r="C542" s="20" t="s">
        <v>799</v>
      </c>
      <c r="D542" s="21" t="s">
        <v>800</v>
      </c>
      <c r="E542" s="20">
        <v>48.5</v>
      </c>
      <c r="F542" s="20">
        <v>48.5</v>
      </c>
      <c r="G542" s="22">
        <v>0.63</v>
      </c>
      <c r="H542" s="20">
        <v>7.0000000000000001E-3</v>
      </c>
      <c r="I542" s="20">
        <v>29.35</v>
      </c>
      <c r="J542" s="20"/>
    </row>
    <row r="543" spans="1:10" x14ac:dyDescent="0.2">
      <c r="A543" s="20" t="str">
        <f>HYPERLINK("https://www.ncbi.nlm.nih.gov/protein/XP_021352011.1?report=genbank&amp;log$=prottop&amp;blast_rank=515&amp;RID=DNNRD06A013","XP_021352011.1")</f>
        <v>XP_021352011.1</v>
      </c>
      <c r="B543" s="45">
        <v>556</v>
      </c>
      <c r="C543" s="20" t="s">
        <v>801</v>
      </c>
      <c r="D543" s="21" t="s">
        <v>800</v>
      </c>
      <c r="E543" s="20">
        <v>101</v>
      </c>
      <c r="F543" s="20">
        <v>165</v>
      </c>
      <c r="G543" s="22">
        <v>0.7</v>
      </c>
      <c r="H543" s="23">
        <v>4.9999999999999999E-20</v>
      </c>
      <c r="I543" s="20">
        <v>43.4</v>
      </c>
      <c r="J543" s="20"/>
    </row>
    <row r="544" spans="1:10" x14ac:dyDescent="0.2">
      <c r="A544" s="20" t="str">
        <f>HYPERLINK("https://www.ncbi.nlm.nih.gov/protein/XP_021352012.1?report=genbank&amp;log$=prottop&amp;blast_rank=514&amp;RID=DNNRD06A013","XP_021352012.1")</f>
        <v>XP_021352012.1</v>
      </c>
      <c r="B544" s="45">
        <v>538</v>
      </c>
      <c r="C544" s="20" t="s">
        <v>802</v>
      </c>
      <c r="D544" s="21" t="s">
        <v>800</v>
      </c>
      <c r="E544" s="20">
        <v>101</v>
      </c>
      <c r="F544" s="20">
        <v>165</v>
      </c>
      <c r="G544" s="22">
        <v>0.7</v>
      </c>
      <c r="H544" s="23">
        <v>4.9999999999999999E-20</v>
      </c>
      <c r="I544" s="20">
        <v>43.4</v>
      </c>
      <c r="J544" s="20"/>
    </row>
    <row r="545" spans="1:10" x14ac:dyDescent="0.2">
      <c r="A545" s="20" t="str">
        <f>HYPERLINK("https://www.ncbi.nlm.nih.gov/protein/XP_036127319.1?report=genbank&amp;log$=prottop&amp;blast_rank=244&amp;RID=DNNRD06A013","XP_036127319.1")</f>
        <v>XP_036127319.1</v>
      </c>
      <c r="B545" s="45">
        <v>236</v>
      </c>
      <c r="C545" s="20" t="s">
        <v>803</v>
      </c>
      <c r="D545" s="21" t="s">
        <v>804</v>
      </c>
      <c r="E545" s="20">
        <v>155</v>
      </c>
      <c r="F545" s="20">
        <v>155</v>
      </c>
      <c r="G545" s="22">
        <v>0.7</v>
      </c>
      <c r="H545" s="23">
        <v>6.0000000000000005E-42</v>
      </c>
      <c r="I545" s="20">
        <v>46.02</v>
      </c>
      <c r="J545" s="20"/>
    </row>
    <row r="546" spans="1:10" x14ac:dyDescent="0.2">
      <c r="A546" s="20" t="str">
        <f>HYPERLINK("https://www.ncbi.nlm.nih.gov/protein/XP_036122390.1?report=genbank&amp;log$=prottop&amp;blast_rank=112&amp;RID=DNNRD06A013","XP_036122390.1")</f>
        <v>XP_036122390.1</v>
      </c>
      <c r="B546" s="45">
        <v>311</v>
      </c>
      <c r="C546" s="20" t="s">
        <v>805</v>
      </c>
      <c r="D546" s="21" t="s">
        <v>804</v>
      </c>
      <c r="E546" s="20">
        <v>384</v>
      </c>
      <c r="F546" s="20">
        <v>384</v>
      </c>
      <c r="G546" s="22">
        <v>1</v>
      </c>
      <c r="H546" s="23">
        <v>7.0000000000000004E-131</v>
      </c>
      <c r="I546" s="20">
        <v>78.98</v>
      </c>
      <c r="J546" s="20"/>
    </row>
    <row r="547" spans="1:10" x14ac:dyDescent="0.2">
      <c r="A547" s="20" t="str">
        <f>HYPERLINK("https://www.ncbi.nlm.nih.gov/protein/XP_007507026.1?report=genbank&amp;log$=prottop&amp;blast_rank=216&amp;RID=DNNRD06A013","XP_007507026.1")</f>
        <v>XP_007507026.1</v>
      </c>
      <c r="B547" s="45">
        <v>241</v>
      </c>
      <c r="C547" s="20" t="s">
        <v>806</v>
      </c>
      <c r="D547" s="21" t="s">
        <v>807</v>
      </c>
      <c r="E547" s="20">
        <v>160</v>
      </c>
      <c r="F547" s="20">
        <v>160</v>
      </c>
      <c r="G547" s="22">
        <v>0.7</v>
      </c>
      <c r="H547" s="23">
        <v>6.0000000000000005E-44</v>
      </c>
      <c r="I547" s="20">
        <v>44.44</v>
      </c>
      <c r="J547" s="20"/>
    </row>
    <row r="548" spans="1:10" x14ac:dyDescent="0.2">
      <c r="A548" s="20" t="str">
        <f>HYPERLINK("https://www.ncbi.nlm.nih.gov/protein/XP_007507152.1?report=genbank&amp;log$=prottop&amp;blast_rank=218&amp;RID=DNNRD06A013","XP_007507152.1")</f>
        <v>XP_007507152.1</v>
      </c>
      <c r="B548" s="45">
        <v>241</v>
      </c>
      <c r="C548" s="20" t="s">
        <v>808</v>
      </c>
      <c r="D548" s="21" t="s">
        <v>807</v>
      </c>
      <c r="E548" s="20">
        <v>160</v>
      </c>
      <c r="F548" s="20">
        <v>160</v>
      </c>
      <c r="G548" s="22">
        <v>0.7</v>
      </c>
      <c r="H548" s="23">
        <v>6.9999999999999995E-44</v>
      </c>
      <c r="I548" s="20">
        <v>43.56</v>
      </c>
      <c r="J548" s="20"/>
    </row>
    <row r="549" spans="1:10" x14ac:dyDescent="0.2">
      <c r="A549" s="20" t="str">
        <f>HYPERLINK("https://www.ncbi.nlm.nih.gov/protein/XP_001375011.2?report=genbank&amp;log$=prottop&amp;blast_rank=190&amp;RID=DNNRD06A013","XP_001375011.2")</f>
        <v>XP_001375011.2</v>
      </c>
      <c r="B549" s="45">
        <v>294</v>
      </c>
      <c r="C549" s="20" t="s">
        <v>809</v>
      </c>
      <c r="D549" s="21" t="s">
        <v>807</v>
      </c>
      <c r="E549" s="20">
        <v>273</v>
      </c>
      <c r="F549" s="20">
        <v>273</v>
      </c>
      <c r="G549" s="22">
        <v>0.74</v>
      </c>
      <c r="H549" s="23">
        <v>3.0000000000000002E-87</v>
      </c>
      <c r="I549" s="20">
        <v>64.83</v>
      </c>
      <c r="J549" s="20"/>
    </row>
    <row r="550" spans="1:10" x14ac:dyDescent="0.2">
      <c r="A550" s="20" t="str">
        <f>HYPERLINK("https://www.ncbi.nlm.nih.gov/protein/XP_029095792.1?report=genbank&amp;log$=prottop&amp;blast_rank=469&amp;RID=DNNRD06A013","XP_029095792.1")</f>
        <v>XP_029095792.1</v>
      </c>
      <c r="B550" s="45">
        <v>218</v>
      </c>
      <c r="C550" s="20" t="s">
        <v>810</v>
      </c>
      <c r="D550" s="21" t="s">
        <v>811</v>
      </c>
      <c r="E550" s="20">
        <v>113</v>
      </c>
      <c r="F550" s="20">
        <v>113</v>
      </c>
      <c r="G550" s="22">
        <v>0.7</v>
      </c>
      <c r="H550" s="23">
        <v>4.0000000000000002E-26</v>
      </c>
      <c r="I550" s="20">
        <v>39.380000000000003</v>
      </c>
      <c r="J550" s="20"/>
    </row>
    <row r="551" spans="1:10" x14ac:dyDescent="0.2">
      <c r="A551" s="20" t="str">
        <f>HYPERLINK("https://www.ncbi.nlm.nih.gov/protein/XP_028046085.1?report=genbank&amp;log$=prottop&amp;blast_rank=831&amp;RID=DNNRD06A013","XP_028046085.1")</f>
        <v>XP_028046085.1</v>
      </c>
      <c r="B551" s="45">
        <v>350</v>
      </c>
      <c r="C551" s="20" t="s">
        <v>812</v>
      </c>
      <c r="D551" s="21" t="s">
        <v>813</v>
      </c>
      <c r="E551" s="20">
        <v>57.8</v>
      </c>
      <c r="F551" s="20">
        <v>57.8</v>
      </c>
      <c r="G551" s="22">
        <v>0.44</v>
      </c>
      <c r="H551" s="23">
        <v>1.0000000000000001E-5</v>
      </c>
      <c r="I551" s="20">
        <v>32.869999999999997</v>
      </c>
      <c r="J551" s="20"/>
    </row>
    <row r="552" spans="1:10" x14ac:dyDescent="0.2">
      <c r="A552" s="20" t="str">
        <f>HYPERLINK("https://www.ncbi.nlm.nih.gov/protein/XP_028046087.1?report=genbank&amp;log$=prottop&amp;blast_rank=829&amp;RID=DNNRD06A013","XP_028046087.1")</f>
        <v>XP_028046087.1</v>
      </c>
      <c r="B552" s="45">
        <v>325</v>
      </c>
      <c r="C552" s="20" t="s">
        <v>814</v>
      </c>
      <c r="D552" s="21" t="s">
        <v>813</v>
      </c>
      <c r="E552" s="20">
        <v>57.8</v>
      </c>
      <c r="F552" s="20">
        <v>57.8</v>
      </c>
      <c r="G552" s="22">
        <v>0.48</v>
      </c>
      <c r="H552" s="23">
        <v>1.0000000000000001E-5</v>
      </c>
      <c r="I552" s="20">
        <v>30.52</v>
      </c>
      <c r="J552" s="20"/>
    </row>
    <row r="553" spans="1:10" x14ac:dyDescent="0.2">
      <c r="A553" s="20" t="str">
        <f>HYPERLINK("https://www.ncbi.nlm.nih.gov/protein/XP_021009765.1?report=genbank&amp;log$=prottop&amp;blast_rank=343&amp;RID=DNNRD06A013","XP_021009765.1")</f>
        <v>XP_021009765.1</v>
      </c>
      <c r="B553" s="45">
        <v>236</v>
      </c>
      <c r="C553" s="20" t="s">
        <v>815</v>
      </c>
      <c r="D553" s="21" t="s">
        <v>816</v>
      </c>
      <c r="E553" s="20">
        <v>150</v>
      </c>
      <c r="F553" s="20">
        <v>150</v>
      </c>
      <c r="G553" s="22">
        <v>0.7</v>
      </c>
      <c r="H553" s="23">
        <v>4.9999999999999996E-40</v>
      </c>
      <c r="I553" s="20">
        <v>45.13</v>
      </c>
      <c r="J553" s="20"/>
    </row>
    <row r="554" spans="1:10" x14ac:dyDescent="0.2">
      <c r="A554" s="20" t="str">
        <f>HYPERLINK("https://www.ncbi.nlm.nih.gov/protein/XP_021028672.1?report=genbank&amp;log$=prottop&amp;blast_rank=173&amp;RID=DNNRD06A013","XP_021028672.1")</f>
        <v>XP_021028672.1</v>
      </c>
      <c r="B554" s="45">
        <v>339</v>
      </c>
      <c r="C554" s="20" t="s">
        <v>817</v>
      </c>
      <c r="D554" s="21" t="s">
        <v>816</v>
      </c>
      <c r="E554" s="20">
        <v>330</v>
      </c>
      <c r="F554" s="20">
        <v>330</v>
      </c>
      <c r="G554" s="22">
        <v>1</v>
      </c>
      <c r="H554" s="23">
        <v>4E-109</v>
      </c>
      <c r="I554" s="20">
        <v>72.61</v>
      </c>
      <c r="J554" s="20"/>
    </row>
    <row r="555" spans="1:10" x14ac:dyDescent="0.2">
      <c r="A555" s="20" t="str">
        <f>HYPERLINK("https://www.ncbi.nlm.nih.gov/protein/NP_036037.1?report=genbank&amp;log$=prottop&amp;blast_rank=281&amp;RID=DNNRD06A013","NP_036037.1")</f>
        <v>NP_036037.1</v>
      </c>
      <c r="B555" s="45">
        <v>236</v>
      </c>
      <c r="C555" s="20" t="s">
        <v>818</v>
      </c>
      <c r="D555" s="21" t="s">
        <v>819</v>
      </c>
      <c r="E555" s="20">
        <v>152</v>
      </c>
      <c r="F555" s="20">
        <v>152</v>
      </c>
      <c r="G555" s="22">
        <v>0.7</v>
      </c>
      <c r="H555" s="23">
        <v>4E-41</v>
      </c>
      <c r="I555" s="20">
        <v>45.13</v>
      </c>
      <c r="J555" s="20"/>
    </row>
    <row r="556" spans="1:10" x14ac:dyDescent="0.2">
      <c r="A556" s="20" t="str">
        <f>HYPERLINK("https://www.ncbi.nlm.nih.gov/protein/NP_001012236.1?report=genbank&amp;log$=prottop&amp;blast_rank=172&amp;RID=DNNRD06A013","NP_001012236.1")</f>
        <v>NP_001012236.1</v>
      </c>
      <c r="B556" s="45">
        <v>314</v>
      </c>
      <c r="C556" s="20" t="s">
        <v>820</v>
      </c>
      <c r="D556" s="21" t="s">
        <v>819</v>
      </c>
      <c r="E556" s="20">
        <v>329</v>
      </c>
      <c r="F556" s="20">
        <v>329</v>
      </c>
      <c r="G556" s="22">
        <v>1</v>
      </c>
      <c r="H556" s="23">
        <v>3.0000000000000002E-109</v>
      </c>
      <c r="I556" s="20">
        <v>71.66</v>
      </c>
      <c r="J556" s="20"/>
    </row>
    <row r="557" spans="1:10" x14ac:dyDescent="0.2">
      <c r="A557" s="20" t="str">
        <f>HYPERLINK("https://www.ncbi.nlm.nih.gov/protein/XP_021044365.1?report=genbank&amp;log$=prottop&amp;blast_rank=351&amp;RID=DNNRD06A013","XP_021044365.1")</f>
        <v>XP_021044365.1</v>
      </c>
      <c r="B557" s="45">
        <v>236</v>
      </c>
      <c r="C557" s="20" t="s">
        <v>821</v>
      </c>
      <c r="D557" s="21" t="s">
        <v>822</v>
      </c>
      <c r="E557" s="20">
        <v>150</v>
      </c>
      <c r="F557" s="20">
        <v>150</v>
      </c>
      <c r="G557" s="22">
        <v>0.7</v>
      </c>
      <c r="H557" s="23">
        <v>4.9999999999999996E-40</v>
      </c>
      <c r="I557" s="20">
        <v>44.69</v>
      </c>
      <c r="J557" s="20"/>
    </row>
    <row r="558" spans="1:10" x14ac:dyDescent="0.2">
      <c r="A558" s="20" t="str">
        <f>HYPERLINK("https://www.ncbi.nlm.nih.gov/protein/XP_021063240.1?report=genbank&amp;log$=prottop&amp;blast_rank=171&amp;RID=DNNRD06A013","XP_021063240.1")</f>
        <v>XP_021063240.1</v>
      </c>
      <c r="B558" s="45">
        <v>316</v>
      </c>
      <c r="C558" s="20" t="s">
        <v>823</v>
      </c>
      <c r="D558" s="21" t="s">
        <v>822</v>
      </c>
      <c r="E558" s="20">
        <v>333</v>
      </c>
      <c r="F558" s="20">
        <v>333</v>
      </c>
      <c r="G558" s="22">
        <v>1</v>
      </c>
      <c r="H558" s="23">
        <v>1.0000000000000001E-110</v>
      </c>
      <c r="I558" s="20">
        <v>70.89</v>
      </c>
      <c r="J558" s="20"/>
    </row>
    <row r="559" spans="1:10" x14ac:dyDescent="0.2">
      <c r="A559" s="20" t="str">
        <f>HYPERLINK("https://www.ncbi.nlm.nih.gov/protein/XP_029398995.1?report=genbank&amp;log$=prottop&amp;blast_rank=192&amp;RID=DNNRD06A013","XP_029398995.1")</f>
        <v>XP_029398995.1</v>
      </c>
      <c r="B559" s="45">
        <v>270</v>
      </c>
      <c r="C559" s="20" t="s">
        <v>824</v>
      </c>
      <c r="D559" s="21" t="s">
        <v>822</v>
      </c>
      <c r="E559" s="20">
        <v>246</v>
      </c>
      <c r="F559" s="20">
        <v>246</v>
      </c>
      <c r="G559" s="22">
        <v>0.79</v>
      </c>
      <c r="H559" s="23">
        <v>3.0000000000000002E-77</v>
      </c>
      <c r="I559" s="20">
        <v>67.19</v>
      </c>
      <c r="J559" s="20"/>
    </row>
    <row r="560" spans="1:10" x14ac:dyDescent="0.2">
      <c r="A560" s="20" t="str">
        <f>HYPERLINK("https://www.ncbi.nlm.nih.gov/protein/XP_005175049.1?report=genbank&amp;log$=prottop&amp;blast_rank=841&amp;RID=DNNRD06A013","XP_005175049.1")</f>
        <v>XP_005175049.1</v>
      </c>
      <c r="B560" s="45">
        <v>301</v>
      </c>
      <c r="C560" s="20" t="s">
        <v>825</v>
      </c>
      <c r="D560" s="21" t="s">
        <v>826</v>
      </c>
      <c r="E560" s="20">
        <v>57</v>
      </c>
      <c r="F560" s="20">
        <v>57</v>
      </c>
      <c r="G560" s="22">
        <v>0.71</v>
      </c>
      <c r="H560" s="23">
        <v>2.0000000000000002E-5</v>
      </c>
      <c r="I560" s="20">
        <v>25.3</v>
      </c>
      <c r="J560" s="20"/>
    </row>
    <row r="561" spans="1:10" x14ac:dyDescent="0.2">
      <c r="A561" s="20" t="str">
        <f>HYPERLINK("https://www.ncbi.nlm.nih.gov/protein/XP_005188151.1?report=genbank&amp;log$=prottop&amp;blast_rank=856&amp;RID=DNNRD06A013","XP_005188151.1")</f>
        <v>XP_005188151.1</v>
      </c>
      <c r="B561" s="45">
        <v>349</v>
      </c>
      <c r="C561" s="20" t="s">
        <v>827</v>
      </c>
      <c r="D561" s="21" t="s">
        <v>826</v>
      </c>
      <c r="E561" s="20">
        <v>55.8</v>
      </c>
      <c r="F561" s="20">
        <v>55.8</v>
      </c>
      <c r="G561" s="22">
        <v>0.64</v>
      </c>
      <c r="H561" s="23">
        <v>6.0000000000000002E-5</v>
      </c>
      <c r="I561" s="20">
        <v>24.11</v>
      </c>
      <c r="J561" s="20"/>
    </row>
    <row r="562" spans="1:10" x14ac:dyDescent="0.2">
      <c r="A562" s="20" t="str">
        <f>HYPERLINK("https://www.ncbi.nlm.nih.gov/protein/XP_032185373.1?report=genbank&amp;log$=prottop&amp;blast_rank=242&amp;RID=DNNRD06A013","XP_032185373.1")</f>
        <v>XP_032185373.1</v>
      </c>
      <c r="B562" s="45">
        <v>236</v>
      </c>
      <c r="C562" s="20" t="s">
        <v>828</v>
      </c>
      <c r="D562" s="21" t="s">
        <v>829</v>
      </c>
      <c r="E562" s="20">
        <v>155</v>
      </c>
      <c r="F562" s="20">
        <v>155</v>
      </c>
      <c r="G562" s="22">
        <v>0.7</v>
      </c>
      <c r="H562" s="23">
        <v>5E-42</v>
      </c>
      <c r="I562" s="20">
        <v>46.9</v>
      </c>
      <c r="J562" s="20"/>
    </row>
    <row r="563" spans="1:10" x14ac:dyDescent="0.2">
      <c r="A563" s="20" t="str">
        <f>HYPERLINK("https://www.ncbi.nlm.nih.gov/protein/XP_032174682.1?report=genbank&amp;log$=prottop&amp;blast_rank=75&amp;RID=DNNRD06A013","XP_032174682.1")</f>
        <v>XP_032174682.1</v>
      </c>
      <c r="B563" s="45">
        <v>313</v>
      </c>
      <c r="C563" s="20" t="s">
        <v>830</v>
      </c>
      <c r="D563" s="21" t="s">
        <v>829</v>
      </c>
      <c r="E563" s="20">
        <v>399</v>
      </c>
      <c r="F563" s="20">
        <v>399</v>
      </c>
      <c r="G563" s="22">
        <v>1</v>
      </c>
      <c r="H563" s="23">
        <v>2E-136</v>
      </c>
      <c r="I563" s="20">
        <v>78.98</v>
      </c>
      <c r="J563" s="20"/>
    </row>
    <row r="564" spans="1:10" x14ac:dyDescent="0.2">
      <c r="A564" s="20" t="str">
        <f>HYPERLINK("https://www.ncbi.nlm.nih.gov/protein/XP_004779387.1?report=genbank&amp;log$=prottop&amp;blast_rank=249&amp;RID=DNNRD06A013","XP_004779387.1")</f>
        <v>XP_004779387.1</v>
      </c>
      <c r="B564" s="45">
        <v>236</v>
      </c>
      <c r="C564" s="20" t="s">
        <v>831</v>
      </c>
      <c r="D564" s="21" t="s">
        <v>832</v>
      </c>
      <c r="E564" s="20">
        <v>154</v>
      </c>
      <c r="F564" s="20">
        <v>154</v>
      </c>
      <c r="G564" s="22">
        <v>0.7</v>
      </c>
      <c r="H564" s="23">
        <v>7.0000000000000004E-42</v>
      </c>
      <c r="I564" s="20">
        <v>46.9</v>
      </c>
      <c r="J564" s="20"/>
    </row>
    <row r="565" spans="1:10" x14ac:dyDescent="0.2">
      <c r="A565" s="20" t="str">
        <f>HYPERLINK("https://www.ncbi.nlm.nih.gov/protein/XP_004760784.1?report=genbank&amp;log$=prottop&amp;blast_rank=73&amp;RID=DNNRD06A013","XP_004760784.1")</f>
        <v>XP_004760784.1</v>
      </c>
      <c r="B565" s="45">
        <v>313</v>
      </c>
      <c r="C565" s="20" t="s">
        <v>833</v>
      </c>
      <c r="D565" s="21" t="s">
        <v>832</v>
      </c>
      <c r="E565" s="20">
        <v>399</v>
      </c>
      <c r="F565" s="20">
        <v>399</v>
      </c>
      <c r="G565" s="22">
        <v>1</v>
      </c>
      <c r="H565" s="23">
        <v>7.0000000000000002E-137</v>
      </c>
      <c r="I565" s="20">
        <v>78.98</v>
      </c>
      <c r="J565" s="20"/>
    </row>
    <row r="566" spans="1:10" x14ac:dyDescent="0.2">
      <c r="A566" s="20" t="str">
        <f>HYPERLINK("https://www.ncbi.nlm.nih.gov/protein/XP_048313487.1?report=genbank&amp;log$=prottop&amp;blast_rank=321&amp;RID=DNNRD06A013","XP_048313487.1")</f>
        <v>XP_048313487.1</v>
      </c>
      <c r="B566" s="45">
        <v>236</v>
      </c>
      <c r="C566" s="20" t="s">
        <v>834</v>
      </c>
      <c r="D566" s="21" t="s">
        <v>835</v>
      </c>
      <c r="E566" s="20">
        <v>151</v>
      </c>
      <c r="F566" s="20">
        <v>151</v>
      </c>
      <c r="G566" s="22">
        <v>0.7</v>
      </c>
      <c r="H566" s="23">
        <v>1.9999999999999999E-40</v>
      </c>
      <c r="I566" s="20">
        <v>45.58</v>
      </c>
      <c r="J566" s="20"/>
    </row>
    <row r="567" spans="1:10" x14ac:dyDescent="0.2">
      <c r="A567" s="20" t="str">
        <f>HYPERLINK("https://www.ncbi.nlm.nih.gov/protein/XP_048278978.1?report=genbank&amp;log$=prottop&amp;blast_rank=136&amp;RID=DNNRD06A013","XP_048278978.1")</f>
        <v>XP_048278978.1</v>
      </c>
      <c r="B567" s="45">
        <v>313</v>
      </c>
      <c r="C567" s="20" t="s">
        <v>836</v>
      </c>
      <c r="D567" s="21" t="s">
        <v>835</v>
      </c>
      <c r="E567" s="20">
        <v>363</v>
      </c>
      <c r="F567" s="20">
        <v>363</v>
      </c>
      <c r="G567" s="22">
        <v>1</v>
      </c>
      <c r="H567" s="23">
        <v>2.0000000000000001E-122</v>
      </c>
      <c r="I567" s="20">
        <v>76.19</v>
      </c>
      <c r="J567" s="20"/>
    </row>
    <row r="568" spans="1:10" x14ac:dyDescent="0.2">
      <c r="A568" s="20" t="str">
        <f>HYPERLINK("https://www.ncbi.nlm.nih.gov/protein/XP_005886217.1?report=genbank&amp;log$=prottop&amp;blast_rank=268&amp;RID=DNNRD06A013","XP_005886217.1")</f>
        <v>XP_005886217.1</v>
      </c>
      <c r="B568" s="45">
        <v>236</v>
      </c>
      <c r="C568" s="20" t="s">
        <v>837</v>
      </c>
      <c r="D568" s="21" t="s">
        <v>838</v>
      </c>
      <c r="E568" s="20">
        <v>153</v>
      </c>
      <c r="F568" s="20">
        <v>153</v>
      </c>
      <c r="G568" s="22">
        <v>0.7</v>
      </c>
      <c r="H568" s="23">
        <v>2.9999999999999999E-41</v>
      </c>
      <c r="I568" s="20">
        <v>45.58</v>
      </c>
      <c r="J568" s="20"/>
    </row>
    <row r="569" spans="1:10" x14ac:dyDescent="0.2">
      <c r="A569" s="20" t="str">
        <f>HYPERLINK("https://www.ncbi.nlm.nih.gov/protein/XP_006767008.1?report=genbank&amp;log$=prottop&amp;blast_rank=270&amp;RID=DNNRD06A013","XP_006767008.1")</f>
        <v>XP_006767008.1</v>
      </c>
      <c r="B569" s="45">
        <v>236</v>
      </c>
      <c r="C569" s="20" t="s">
        <v>839</v>
      </c>
      <c r="D569" s="21" t="s">
        <v>840</v>
      </c>
      <c r="E569" s="20">
        <v>153</v>
      </c>
      <c r="F569" s="20">
        <v>153</v>
      </c>
      <c r="G569" s="22">
        <v>0.7</v>
      </c>
      <c r="H569" s="23">
        <v>2.9999999999999999E-41</v>
      </c>
      <c r="I569" s="20">
        <v>45.58</v>
      </c>
      <c r="J569" s="20"/>
    </row>
    <row r="570" spans="1:10" x14ac:dyDescent="0.2">
      <c r="A570" s="20" t="str">
        <f>HYPERLINK("https://www.ncbi.nlm.nih.gov/protein/XP_006770637.1?report=genbank&amp;log$=prottop&amp;blast_rank=177&amp;RID=DNNRD06A013","XP_006770637.1")</f>
        <v>XP_006770637.1</v>
      </c>
      <c r="B570" s="45">
        <v>278</v>
      </c>
      <c r="C570" s="20" t="s">
        <v>841</v>
      </c>
      <c r="D570" s="21" t="s">
        <v>840</v>
      </c>
      <c r="E570" s="20">
        <v>323</v>
      </c>
      <c r="F570" s="20">
        <v>323</v>
      </c>
      <c r="G570" s="22">
        <v>0.99</v>
      </c>
      <c r="H570" s="23">
        <v>2.9999999999999997E-107</v>
      </c>
      <c r="I570" s="20">
        <v>68.17</v>
      </c>
      <c r="J570" s="20"/>
    </row>
    <row r="571" spans="1:10" x14ac:dyDescent="0.2">
      <c r="A571" s="20" t="str">
        <f>HYPERLINK("https://www.ncbi.nlm.nih.gov/protein/XP_006087764.1?report=genbank&amp;log$=prottop&amp;blast_rank=261&amp;RID=DNNRD06A013","XP_006087764.1")</f>
        <v>XP_006087764.1</v>
      </c>
      <c r="B571" s="45">
        <v>236</v>
      </c>
      <c r="C571" s="20" t="s">
        <v>842</v>
      </c>
      <c r="D571" s="21" t="s">
        <v>843</v>
      </c>
      <c r="E571" s="20">
        <v>153</v>
      </c>
      <c r="F571" s="20">
        <v>153</v>
      </c>
      <c r="G571" s="22">
        <v>0.7</v>
      </c>
      <c r="H571" s="23">
        <v>2E-41</v>
      </c>
      <c r="I571" s="20">
        <v>45.58</v>
      </c>
      <c r="J571" s="20"/>
    </row>
    <row r="572" spans="1:10" x14ac:dyDescent="0.2">
      <c r="A572" s="20" t="str">
        <f>HYPERLINK("https://www.ncbi.nlm.nih.gov/protein/XP_036161752.1?report=genbank&amp;log$=prottop&amp;blast_rank=258&amp;RID=DNNRD06A013","XP_036161752.1")</f>
        <v>XP_036161752.1</v>
      </c>
      <c r="B572" s="45">
        <v>236</v>
      </c>
      <c r="C572" s="20" t="s">
        <v>844</v>
      </c>
      <c r="D572" s="21" t="s">
        <v>845</v>
      </c>
      <c r="E572" s="20">
        <v>154</v>
      </c>
      <c r="F572" s="20">
        <v>154</v>
      </c>
      <c r="G572" s="22">
        <v>0.7</v>
      </c>
      <c r="H572" s="23">
        <v>1E-41</v>
      </c>
      <c r="I572" s="20">
        <v>45.58</v>
      </c>
      <c r="J572" s="20"/>
    </row>
    <row r="573" spans="1:10" x14ac:dyDescent="0.2">
      <c r="A573" s="20" t="str">
        <f>HYPERLINK("https://www.ncbi.nlm.nih.gov/protein/XP_036189557.1?report=genbank&amp;log$=prottop&amp;blast_rank=138&amp;RID=DNNRD06A013","XP_036189557.1")</f>
        <v>XP_036189557.1</v>
      </c>
      <c r="B573" s="45">
        <v>309</v>
      </c>
      <c r="C573" s="20" t="s">
        <v>846</v>
      </c>
      <c r="D573" s="21" t="s">
        <v>845</v>
      </c>
      <c r="E573" s="20">
        <v>362</v>
      </c>
      <c r="F573" s="20">
        <v>362</v>
      </c>
      <c r="G573" s="22">
        <v>1</v>
      </c>
      <c r="H573" s="23">
        <v>4.0000000000000002E-122</v>
      </c>
      <c r="I573" s="20">
        <v>74.52</v>
      </c>
      <c r="J573" s="20"/>
    </row>
    <row r="574" spans="1:10" x14ac:dyDescent="0.2">
      <c r="A574" s="20" t="str">
        <f>HYPERLINK("https://www.ncbi.nlm.nih.gov/protein/XP_008827737.1?report=genbank&amp;log$=prottop&amp;blast_rank=344&amp;RID=DNNRD06A013","XP_008827737.1")</f>
        <v>XP_008827737.1</v>
      </c>
      <c r="B574" s="45">
        <v>236</v>
      </c>
      <c r="C574" s="20" t="s">
        <v>847</v>
      </c>
      <c r="D574" s="21" t="s">
        <v>848</v>
      </c>
      <c r="E574" s="20">
        <v>150</v>
      </c>
      <c r="F574" s="20">
        <v>150</v>
      </c>
      <c r="G574" s="22">
        <v>0.7</v>
      </c>
      <c r="H574" s="23">
        <v>4.9999999999999996E-40</v>
      </c>
      <c r="I574" s="20">
        <v>45.13</v>
      </c>
      <c r="J574" s="20"/>
    </row>
    <row r="575" spans="1:10" x14ac:dyDescent="0.2">
      <c r="A575" s="20" t="str">
        <f>HYPERLINK("https://www.ncbi.nlm.nih.gov/protein/XP_008851470.1?report=genbank&amp;log$=prottop&amp;blast_rank=60&amp;RID=DNNRD06A013","XP_008851470.1")</f>
        <v>XP_008851470.1</v>
      </c>
      <c r="B575" s="45">
        <v>312</v>
      </c>
      <c r="C575" s="20" t="s">
        <v>849</v>
      </c>
      <c r="D575" s="21" t="s">
        <v>848</v>
      </c>
      <c r="E575" s="20">
        <v>402</v>
      </c>
      <c r="F575" s="20">
        <v>402</v>
      </c>
      <c r="G575" s="22">
        <v>1</v>
      </c>
      <c r="H575" s="23">
        <v>4.0000000000000003E-138</v>
      </c>
      <c r="I575" s="20">
        <v>80.89</v>
      </c>
      <c r="J575" s="20"/>
    </row>
    <row r="576" spans="1:10" x14ac:dyDescent="0.2">
      <c r="A576" s="20" t="str">
        <f>HYPERLINK("https://www.ncbi.nlm.nih.gov/protein/XP_008851471.1?report=genbank&amp;log$=prottop&amp;blast_rank=179&amp;RID=DNNRD06A013","XP_008851471.1")</f>
        <v>XP_008851471.1</v>
      </c>
      <c r="B576" s="45">
        <v>274</v>
      </c>
      <c r="C576" s="20" t="s">
        <v>850</v>
      </c>
      <c r="D576" s="21" t="s">
        <v>848</v>
      </c>
      <c r="E576" s="20">
        <v>309</v>
      </c>
      <c r="F576" s="20">
        <v>309</v>
      </c>
      <c r="G576" s="22">
        <v>1</v>
      </c>
      <c r="H576" s="23">
        <v>6E-102</v>
      </c>
      <c r="I576" s="20">
        <v>70.06</v>
      </c>
      <c r="J576" s="20"/>
    </row>
    <row r="577" spans="1:10" x14ac:dyDescent="0.2">
      <c r="A577" s="20" t="str">
        <f>HYPERLINK("https://www.ncbi.nlm.nih.gov/protein/XP_018429871.1?report=genbank&amp;log$=prottop&amp;blast_rank=426&amp;RID=DNNRD06A013","XP_018429871.1")</f>
        <v>XP_018429871.1</v>
      </c>
      <c r="B577" s="45">
        <v>221</v>
      </c>
      <c r="C577" s="20" t="s">
        <v>851</v>
      </c>
      <c r="D577" s="21" t="s">
        <v>852</v>
      </c>
      <c r="E577" s="20">
        <v>137</v>
      </c>
      <c r="F577" s="20">
        <v>137</v>
      </c>
      <c r="G577" s="22">
        <v>0.71</v>
      </c>
      <c r="H577" s="23">
        <v>2.9999999999999999E-35</v>
      </c>
      <c r="I577" s="20">
        <v>41.78</v>
      </c>
      <c r="J577" s="20"/>
    </row>
    <row r="578" spans="1:10" x14ac:dyDescent="0.2">
      <c r="A578" s="20" t="str">
        <f>HYPERLINK("https://www.ncbi.nlm.nih.gov/protein/XP_031787436.1?report=genbank&amp;log$=prottop&amp;blast_rank=830&amp;RID=DNNRD06A013","XP_031787436.1")</f>
        <v>XP_031787436.1</v>
      </c>
      <c r="B578" s="45">
        <v>374</v>
      </c>
      <c r="C578" s="20" t="s">
        <v>853</v>
      </c>
      <c r="D578" s="21" t="s">
        <v>854</v>
      </c>
      <c r="E578" s="20">
        <v>57.8</v>
      </c>
      <c r="F578" s="20">
        <v>57.8</v>
      </c>
      <c r="G578" s="22">
        <v>0.52</v>
      </c>
      <c r="H578" s="23">
        <v>1.0000000000000001E-5</v>
      </c>
      <c r="I578" s="20">
        <v>28.14</v>
      </c>
      <c r="J578" s="20"/>
    </row>
    <row r="579" spans="1:10" x14ac:dyDescent="0.2">
      <c r="A579" s="20" t="str">
        <f>HYPERLINK("https://www.ncbi.nlm.nih.gov/protein/XP_031787439.1?report=genbank&amp;log$=prottop&amp;blast_rank=834&amp;RID=DNNRD06A013","XP_031787439.1")</f>
        <v>XP_031787439.1</v>
      </c>
      <c r="B579" s="45">
        <v>350</v>
      </c>
      <c r="C579" s="20" t="s">
        <v>855</v>
      </c>
      <c r="D579" s="21" t="s">
        <v>854</v>
      </c>
      <c r="E579" s="20">
        <v>57.8</v>
      </c>
      <c r="F579" s="20">
        <v>57.8</v>
      </c>
      <c r="G579" s="22">
        <v>0.52</v>
      </c>
      <c r="H579" s="23">
        <v>1.0000000000000001E-5</v>
      </c>
      <c r="I579" s="20">
        <v>28.14</v>
      </c>
      <c r="J579" s="20"/>
    </row>
    <row r="580" spans="1:10" x14ac:dyDescent="0.2">
      <c r="A580" s="20" t="str">
        <f>HYPERLINK("https://www.ncbi.nlm.nih.gov/protein/XP_001630486.3?report=genbank&amp;log$=prottop&amp;blast_rank=503&amp;RID=DNNRD06A013","XP_001630486.3")</f>
        <v>XP_001630486.3</v>
      </c>
      <c r="B580" s="45">
        <v>292</v>
      </c>
      <c r="C580" s="20" t="s">
        <v>856</v>
      </c>
      <c r="D580" s="21" t="s">
        <v>857</v>
      </c>
      <c r="E580" s="20">
        <v>103</v>
      </c>
      <c r="F580" s="20">
        <v>103</v>
      </c>
      <c r="G580" s="22">
        <v>0.68</v>
      </c>
      <c r="H580" s="23">
        <v>9.9999999999999991E-22</v>
      </c>
      <c r="I580" s="20">
        <v>38.36</v>
      </c>
      <c r="J580" s="20"/>
    </row>
    <row r="581" spans="1:10" x14ac:dyDescent="0.2">
      <c r="A581" s="20" t="str">
        <f>HYPERLINK("https://www.ncbi.nlm.nih.gov/protein/XP_046414886.1?report=genbank&amp;log$=prottop&amp;blast_rank=665&amp;RID=DNNRD06A013","XP_046414886.1")</f>
        <v>XP_046414886.1</v>
      </c>
      <c r="B581" s="45">
        <v>321</v>
      </c>
      <c r="C581" s="20" t="s">
        <v>858</v>
      </c>
      <c r="D581" s="21" t="s">
        <v>859</v>
      </c>
      <c r="E581" s="20">
        <v>75.5</v>
      </c>
      <c r="F581" s="20">
        <v>75.5</v>
      </c>
      <c r="G581" s="22">
        <v>0.5</v>
      </c>
      <c r="H581" s="23">
        <v>9.9999999999999994E-12</v>
      </c>
      <c r="I581" s="20">
        <v>33.950000000000003</v>
      </c>
      <c r="J581" s="20"/>
    </row>
    <row r="582" spans="1:10" x14ac:dyDescent="0.2">
      <c r="A582" s="20" t="str">
        <f>HYPERLINK("https://www.ncbi.nlm.nih.gov/protein/XP_015521722.1?report=genbank&amp;log$=prottop&amp;blast_rank=668&amp;RID=DNNRD06A013","XP_015521722.1")</f>
        <v>XP_015521722.1</v>
      </c>
      <c r="B582" s="45">
        <v>321</v>
      </c>
      <c r="C582" s="20" t="s">
        <v>860</v>
      </c>
      <c r="D582" s="21" t="s">
        <v>861</v>
      </c>
      <c r="E582" s="20">
        <v>75.5</v>
      </c>
      <c r="F582" s="20">
        <v>75.5</v>
      </c>
      <c r="G582" s="22">
        <v>0.5</v>
      </c>
      <c r="H582" s="23">
        <v>9.9999999999999994E-12</v>
      </c>
      <c r="I582" s="20">
        <v>33.950000000000003</v>
      </c>
      <c r="J582" s="20"/>
    </row>
    <row r="583" spans="1:10" x14ac:dyDescent="0.2">
      <c r="A583" s="20" t="str">
        <f>HYPERLINK("https://www.ncbi.nlm.nih.gov/protein/XP_046470724.1?report=genbank&amp;log$=prottop&amp;blast_rank=669&amp;RID=DNNRD06A013","XP_046470724.1")</f>
        <v>XP_046470724.1</v>
      </c>
      <c r="B583" s="45">
        <v>321</v>
      </c>
      <c r="C583" s="20" t="s">
        <v>862</v>
      </c>
      <c r="D583" s="21" t="s">
        <v>863</v>
      </c>
      <c r="E583" s="20">
        <v>75.5</v>
      </c>
      <c r="F583" s="20">
        <v>75.5</v>
      </c>
      <c r="G583" s="22">
        <v>0.5</v>
      </c>
      <c r="H583" s="23">
        <v>9.9999999999999994E-12</v>
      </c>
      <c r="I583" s="20">
        <v>33.950000000000003</v>
      </c>
      <c r="J583" s="20"/>
    </row>
    <row r="584" spans="1:10" x14ac:dyDescent="0.2">
      <c r="A584" s="20" t="str">
        <f>HYPERLINK("https://www.ncbi.nlm.nih.gov/protein/XP_046605657.1?report=genbank&amp;log$=prottop&amp;blast_rank=673&amp;RID=DNNRD06A013","XP_046605657.1")</f>
        <v>XP_046605657.1</v>
      </c>
      <c r="B584" s="45">
        <v>327</v>
      </c>
      <c r="C584" s="20" t="s">
        <v>864</v>
      </c>
      <c r="D584" s="21" t="s">
        <v>865</v>
      </c>
      <c r="E584" s="20">
        <v>75.099999999999994</v>
      </c>
      <c r="F584" s="20">
        <v>75.099999999999994</v>
      </c>
      <c r="G584" s="22">
        <v>0.5</v>
      </c>
      <c r="H584" s="23">
        <v>1.9999999999999999E-11</v>
      </c>
      <c r="I584" s="20">
        <v>33.950000000000003</v>
      </c>
      <c r="J584" s="20"/>
    </row>
    <row r="585" spans="1:10" x14ac:dyDescent="0.2">
      <c r="A585" s="20" t="str">
        <f>HYPERLINK("https://www.ncbi.nlm.nih.gov/protein/XP_046608243.1?report=genbank&amp;log$=prottop&amp;blast_rank=664&amp;RID=DNNRD06A013","XP_046608243.1")</f>
        <v>XP_046608243.1</v>
      </c>
      <c r="B585" s="45">
        <v>321</v>
      </c>
      <c r="C585" s="20" t="s">
        <v>866</v>
      </c>
      <c r="D585" s="21" t="s">
        <v>865</v>
      </c>
      <c r="E585" s="20">
        <v>75.900000000000006</v>
      </c>
      <c r="F585" s="20">
        <v>75.900000000000006</v>
      </c>
      <c r="G585" s="22">
        <v>0.5</v>
      </c>
      <c r="H585" s="23">
        <v>9.9999999999999994E-12</v>
      </c>
      <c r="I585" s="20">
        <v>33.950000000000003</v>
      </c>
      <c r="J585" s="20"/>
    </row>
    <row r="586" spans="1:10" x14ac:dyDescent="0.2">
      <c r="A586" s="20" t="str">
        <f>HYPERLINK("https://www.ncbi.nlm.nih.gov/protein/XP_044090590.1?report=genbank&amp;log$=prottop&amp;blast_rank=238&amp;RID=DNNRD06A013","XP_044090590.1")</f>
        <v>XP_044090590.1</v>
      </c>
      <c r="B586" s="45">
        <v>236</v>
      </c>
      <c r="C586" s="20" t="s">
        <v>867</v>
      </c>
      <c r="D586" s="21" t="s">
        <v>868</v>
      </c>
      <c r="E586" s="20">
        <v>155</v>
      </c>
      <c r="F586" s="20">
        <v>155</v>
      </c>
      <c r="G586" s="22">
        <v>0.7</v>
      </c>
      <c r="H586" s="23">
        <v>4.0000000000000002E-42</v>
      </c>
      <c r="I586" s="20">
        <v>46.9</v>
      </c>
      <c r="J586" s="20"/>
    </row>
    <row r="587" spans="1:10" x14ac:dyDescent="0.2">
      <c r="A587" s="20" t="str">
        <f>HYPERLINK("https://www.ncbi.nlm.nih.gov/protein/XP_044109569.1?report=genbank&amp;log$=prottop&amp;blast_rank=79&amp;RID=DNNRD06A013","XP_044109569.1")</f>
        <v>XP_044109569.1</v>
      </c>
      <c r="B587" s="45">
        <v>370</v>
      </c>
      <c r="C587" s="20" t="s">
        <v>869</v>
      </c>
      <c r="D587" s="21" t="s">
        <v>868</v>
      </c>
      <c r="E587" s="20">
        <v>398</v>
      </c>
      <c r="F587" s="20">
        <v>398</v>
      </c>
      <c r="G587" s="22">
        <v>1</v>
      </c>
      <c r="H587" s="23">
        <v>1E-135</v>
      </c>
      <c r="I587" s="20">
        <v>78.66</v>
      </c>
      <c r="J587" s="20"/>
    </row>
    <row r="588" spans="1:10" x14ac:dyDescent="0.2">
      <c r="A588" s="20" t="str">
        <f>HYPERLINK("https://www.ncbi.nlm.nih.gov/protein/XP_021538722.1?report=genbank&amp;log$=prottop&amp;blast_rank=272&amp;RID=DNNRD06A013","XP_021538722.1")</f>
        <v>XP_021538722.1</v>
      </c>
      <c r="B588" s="45">
        <v>236</v>
      </c>
      <c r="C588" s="20" t="s">
        <v>870</v>
      </c>
      <c r="D588" s="21" t="s">
        <v>871</v>
      </c>
      <c r="E588" s="20">
        <v>153</v>
      </c>
      <c r="F588" s="20">
        <v>153</v>
      </c>
      <c r="G588" s="22">
        <v>0.7</v>
      </c>
      <c r="H588" s="23">
        <v>2.9999999999999999E-41</v>
      </c>
      <c r="I588" s="20">
        <v>47.35</v>
      </c>
      <c r="J588" s="20"/>
    </row>
    <row r="589" spans="1:10" x14ac:dyDescent="0.2">
      <c r="A589" s="20" t="str">
        <f>HYPERLINK("https://www.ncbi.nlm.nih.gov/protein/XP_021542719.1?report=genbank&amp;log$=prottop&amp;blast_rank=68&amp;RID=DNNRD06A013","XP_021542719.1")</f>
        <v>XP_021542719.1</v>
      </c>
      <c r="B589" s="45">
        <v>314</v>
      </c>
      <c r="C589" s="20" t="s">
        <v>872</v>
      </c>
      <c r="D589" s="21" t="s">
        <v>871</v>
      </c>
      <c r="E589" s="20">
        <v>401</v>
      </c>
      <c r="F589" s="20">
        <v>401</v>
      </c>
      <c r="G589" s="22">
        <v>1</v>
      </c>
      <c r="H589" s="23">
        <v>2E-137</v>
      </c>
      <c r="I589" s="20">
        <v>80.25</v>
      </c>
      <c r="J589" s="20"/>
    </row>
    <row r="590" spans="1:10" x14ac:dyDescent="0.2">
      <c r="A590" s="20" t="str">
        <f>HYPERLINK("https://www.ncbi.nlm.nih.gov/protein/XP_024611572.1?report=genbank&amp;log$=prottop&amp;blast_rank=480&amp;RID=DNNRD06A013","XP_024611572.1")</f>
        <v>XP_024611572.1</v>
      </c>
      <c r="B590" s="45">
        <v>218</v>
      </c>
      <c r="C590" s="20" t="s">
        <v>873</v>
      </c>
      <c r="D590" s="21" t="s">
        <v>874</v>
      </c>
      <c r="E590" s="20">
        <v>109</v>
      </c>
      <c r="F590" s="20">
        <v>109</v>
      </c>
      <c r="G590" s="22">
        <v>0.7</v>
      </c>
      <c r="H590" s="23">
        <v>9.9999999999999992E-25</v>
      </c>
      <c r="I590" s="20">
        <v>38.5</v>
      </c>
      <c r="J590" s="20"/>
    </row>
    <row r="591" spans="1:10" x14ac:dyDescent="0.2">
      <c r="A591" s="20" t="str">
        <f>HYPERLINK("https://www.ncbi.nlm.nih.gov/protein/XP_024607157.1?report=genbank&amp;log$=prottop&amp;blast_rank=41&amp;RID=DNNRD06A013","XP_024607157.1")</f>
        <v>XP_024607157.1</v>
      </c>
      <c r="B591" s="45">
        <v>314</v>
      </c>
      <c r="C591" s="20" t="s">
        <v>875</v>
      </c>
      <c r="D591" s="21" t="s">
        <v>874</v>
      </c>
      <c r="E591" s="20">
        <v>406</v>
      </c>
      <c r="F591" s="20">
        <v>406</v>
      </c>
      <c r="G591" s="22">
        <v>1</v>
      </c>
      <c r="H591" s="23">
        <v>2.0000000000000001E-139</v>
      </c>
      <c r="I591" s="20">
        <v>82.8</v>
      </c>
      <c r="J591" s="20"/>
    </row>
    <row r="592" spans="1:10" x14ac:dyDescent="0.2">
      <c r="A592" s="20" t="str">
        <f>HYPERLINK("https://www.ncbi.nlm.nih.gov/protein/XP_047421155.1?report=genbank&amp;log$=prottop&amp;blast_rank=39&amp;RID=DNNRD06A013","XP_047421155.1")</f>
        <v>XP_047421155.1</v>
      </c>
      <c r="B592" s="45">
        <v>314</v>
      </c>
      <c r="C592" s="20" t="s">
        <v>876</v>
      </c>
      <c r="D592" s="21" t="s">
        <v>877</v>
      </c>
      <c r="E592" s="20">
        <v>408</v>
      </c>
      <c r="F592" s="20">
        <v>408</v>
      </c>
      <c r="G592" s="22">
        <v>1</v>
      </c>
      <c r="H592" s="23">
        <v>3.0000000000000002E-140</v>
      </c>
      <c r="I592" s="20">
        <v>84.08</v>
      </c>
      <c r="J592" s="20"/>
    </row>
    <row r="593" spans="1:10" x14ac:dyDescent="0.2">
      <c r="A593" s="20" t="str">
        <f>HYPERLINK("https://www.ncbi.nlm.nih.gov/protein/XP_047393062.1?report=genbank&amp;log$=prottop&amp;blast_rank=304&amp;RID=DNNRD06A013","XP_047393062.1")</f>
        <v>XP_047393062.1</v>
      </c>
      <c r="B593" s="45">
        <v>236</v>
      </c>
      <c r="C593" s="20" t="s">
        <v>878</v>
      </c>
      <c r="D593" s="21" t="s">
        <v>877</v>
      </c>
      <c r="E593" s="20">
        <v>152</v>
      </c>
      <c r="F593" s="20">
        <v>152</v>
      </c>
      <c r="G593" s="22">
        <v>0.7</v>
      </c>
      <c r="H593" s="23">
        <v>9.0000000000000002E-41</v>
      </c>
      <c r="I593" s="20">
        <v>46.19</v>
      </c>
      <c r="J593" s="20"/>
    </row>
    <row r="594" spans="1:10" x14ac:dyDescent="0.2">
      <c r="A594" s="20" t="str">
        <f>HYPERLINK("https://www.ncbi.nlm.nih.gov/protein/XP_039287163.1?report=genbank&amp;log$=prottop&amp;blast_rank=613&amp;RID=DNNRD06A013","XP_039287163.1")</f>
        <v>XP_039287163.1</v>
      </c>
      <c r="B594" s="45">
        <v>301</v>
      </c>
      <c r="C594" s="20" t="s">
        <v>879</v>
      </c>
      <c r="D594" s="21" t="s">
        <v>880</v>
      </c>
      <c r="E594" s="20">
        <v>80.099999999999994</v>
      </c>
      <c r="F594" s="20">
        <v>80.099999999999994</v>
      </c>
      <c r="G594" s="22">
        <v>0.5</v>
      </c>
      <c r="H594" s="23">
        <v>2.0000000000000001E-13</v>
      </c>
      <c r="I594" s="20">
        <v>30.86</v>
      </c>
      <c r="J594" s="20"/>
    </row>
    <row r="595" spans="1:10" x14ac:dyDescent="0.2">
      <c r="A595" s="20" t="str">
        <f>HYPERLINK("https://www.ncbi.nlm.nih.gov/protein/XP_022195970.2?report=genbank&amp;log$=prottop&amp;blast_rank=625&amp;RID=DNNRD06A013","XP_022195970.2")</f>
        <v>XP_022195970.2</v>
      </c>
      <c r="B595" s="45">
        <v>366</v>
      </c>
      <c r="C595" s="20" t="s">
        <v>881</v>
      </c>
      <c r="D595" s="21" t="s">
        <v>880</v>
      </c>
      <c r="E595" s="20">
        <v>79.7</v>
      </c>
      <c r="F595" s="20">
        <v>79.7</v>
      </c>
      <c r="G595" s="22">
        <v>0.5</v>
      </c>
      <c r="H595" s="23">
        <v>5.9999999999999997E-13</v>
      </c>
      <c r="I595" s="20">
        <v>30.86</v>
      </c>
      <c r="J595" s="20"/>
    </row>
    <row r="596" spans="1:10" x14ac:dyDescent="0.2">
      <c r="A596" s="20" t="str">
        <f>HYPERLINK("https://www.ncbi.nlm.nih.gov/protein/XP_030662679.1?report=genbank&amp;log$=prottop&amp;blast_rank=349&amp;RID=DNNRD06A013","XP_030662679.1")</f>
        <v>XP_030662679.1</v>
      </c>
      <c r="B596" s="45">
        <v>236</v>
      </c>
      <c r="C596" s="20" t="s">
        <v>882</v>
      </c>
      <c r="D596" s="21" t="s">
        <v>883</v>
      </c>
      <c r="E596" s="20">
        <v>150</v>
      </c>
      <c r="F596" s="20">
        <v>150</v>
      </c>
      <c r="G596" s="22">
        <v>0.7</v>
      </c>
      <c r="H596" s="23">
        <v>4.9999999999999996E-40</v>
      </c>
      <c r="I596" s="20">
        <v>45.58</v>
      </c>
      <c r="J596" s="20"/>
    </row>
    <row r="597" spans="1:10" x14ac:dyDescent="0.2">
      <c r="A597" s="20" t="str">
        <f>HYPERLINK("https://www.ncbi.nlm.nih.gov/protein/XP_012352527.1?report=genbank&amp;log$=prottop&amp;blast_rank=3&amp;RID=DNNRD06A013","XP_012352527.1")</f>
        <v>XP_012352527.1</v>
      </c>
      <c r="B597" s="45">
        <v>314</v>
      </c>
      <c r="C597" s="20" t="s">
        <v>884</v>
      </c>
      <c r="D597" s="21" t="s">
        <v>883</v>
      </c>
      <c r="E597" s="20">
        <v>468</v>
      </c>
      <c r="F597" s="20">
        <v>468</v>
      </c>
      <c r="G597" s="22">
        <v>1</v>
      </c>
      <c r="H597" s="23">
        <v>4.9999999999999996E-164</v>
      </c>
      <c r="I597" s="20">
        <v>97.45</v>
      </c>
      <c r="J597" s="20"/>
    </row>
    <row r="598" spans="1:10" x14ac:dyDescent="0.2">
      <c r="A598" s="20" t="str">
        <f>HYPERLINK("https://www.ncbi.nlm.nih.gov/protein/XP_031826501.1?report=genbank&amp;log$=prottop&amp;blast_rank=818&amp;RID=DNNRD06A013","XP_031826501.1")</f>
        <v>XP_031826501.1</v>
      </c>
      <c r="B598" s="45">
        <v>348</v>
      </c>
      <c r="C598" s="20" t="s">
        <v>885</v>
      </c>
      <c r="D598" s="21" t="s">
        <v>886</v>
      </c>
      <c r="E598" s="20">
        <v>58.5</v>
      </c>
      <c r="F598" s="20">
        <v>58.5</v>
      </c>
      <c r="G598" s="22">
        <v>0.42</v>
      </c>
      <c r="H598" s="23">
        <v>6.9999999999999999E-6</v>
      </c>
      <c r="I598" s="20">
        <v>32.840000000000003</v>
      </c>
      <c r="J598" s="20"/>
    </row>
    <row r="599" spans="1:10" x14ac:dyDescent="0.2">
      <c r="A599" s="20" t="str">
        <f>HYPERLINK("https://www.ncbi.nlm.nih.gov/protein/XP_031826503.1?report=genbank&amp;log$=prottop&amp;blast_rank=816&amp;RID=DNNRD06A013","XP_031826503.1")</f>
        <v>XP_031826503.1</v>
      </c>
      <c r="B599" s="45">
        <v>342</v>
      </c>
      <c r="C599" s="20" t="s">
        <v>887</v>
      </c>
      <c r="D599" s="21" t="s">
        <v>886</v>
      </c>
      <c r="E599" s="20">
        <v>58.9</v>
      </c>
      <c r="F599" s="20">
        <v>58.9</v>
      </c>
      <c r="G599" s="22">
        <v>0.42</v>
      </c>
      <c r="H599" s="23">
        <v>6.0000000000000002E-6</v>
      </c>
      <c r="I599" s="20">
        <v>32.840000000000003</v>
      </c>
      <c r="J599" s="20"/>
    </row>
    <row r="600" spans="1:10" x14ac:dyDescent="0.2">
      <c r="A600" s="20" t="str">
        <f>HYPERLINK("https://www.ncbi.nlm.nih.gov/protein/XP_031826504.1?report=genbank&amp;log$=prottop&amp;blast_rank=815&amp;RID=DNNRD06A013","XP_031826504.1")</f>
        <v>XP_031826504.1</v>
      </c>
      <c r="B600" s="45">
        <v>322</v>
      </c>
      <c r="C600" s="20" t="s">
        <v>888</v>
      </c>
      <c r="D600" s="21" t="s">
        <v>886</v>
      </c>
      <c r="E600" s="20">
        <v>58.5</v>
      </c>
      <c r="F600" s="20">
        <v>58.5</v>
      </c>
      <c r="G600" s="22">
        <v>0.42</v>
      </c>
      <c r="H600" s="23">
        <v>6.0000000000000002E-6</v>
      </c>
      <c r="I600" s="20">
        <v>32.840000000000003</v>
      </c>
      <c r="J600" s="20"/>
    </row>
    <row r="601" spans="1:10" x14ac:dyDescent="0.2">
      <c r="A601" s="20" t="str">
        <f>HYPERLINK("https://www.ncbi.nlm.nih.gov/protein/XP_026531961.1?report=genbank&amp;log$=prottop&amp;blast_rank=410&amp;RID=DNNRD06A013","XP_026531961.1")</f>
        <v>XP_026531961.1</v>
      </c>
      <c r="B601" s="45">
        <v>224</v>
      </c>
      <c r="C601" s="20" t="s">
        <v>889</v>
      </c>
      <c r="D601" s="21" t="s">
        <v>890</v>
      </c>
      <c r="E601" s="20">
        <v>143</v>
      </c>
      <c r="F601" s="20">
        <v>143</v>
      </c>
      <c r="G601" s="22">
        <v>0.7</v>
      </c>
      <c r="H601" s="23">
        <v>1.0000000000000001E-37</v>
      </c>
      <c r="I601" s="20">
        <v>42.08</v>
      </c>
      <c r="J601" s="20"/>
    </row>
    <row r="602" spans="1:10" x14ac:dyDescent="0.2">
      <c r="A602" s="20" t="str">
        <f>HYPERLINK("https://www.ncbi.nlm.nih.gov/protein/XP_029166147.1?report=genbank&amp;log$=prottop&amp;blast_rank=776&amp;RID=DNNRD06A013","XP_029166147.1")</f>
        <v>XP_029166147.1</v>
      </c>
      <c r="B602" s="45">
        <v>327</v>
      </c>
      <c r="C602" s="20" t="s">
        <v>891</v>
      </c>
      <c r="D602" s="21" t="s">
        <v>892</v>
      </c>
      <c r="E602" s="20">
        <v>61.6</v>
      </c>
      <c r="F602" s="20">
        <v>61.6</v>
      </c>
      <c r="G602" s="22">
        <v>0.46</v>
      </c>
      <c r="H602" s="23">
        <v>7.9999999999999996E-7</v>
      </c>
      <c r="I602" s="20">
        <v>31.76</v>
      </c>
      <c r="J602" s="20"/>
    </row>
    <row r="603" spans="1:10" x14ac:dyDescent="0.2">
      <c r="A603" s="20" t="str">
        <f>HYPERLINK("https://www.ncbi.nlm.nih.gov/protein/XP_040830502.1?report=genbank&amp;log$=prottop&amp;blast_rank=289&amp;RID=DNNRD06A013","XP_040830502.1")</f>
        <v>XP_040830502.1</v>
      </c>
      <c r="B603" s="45">
        <v>301</v>
      </c>
      <c r="C603" s="20" t="s">
        <v>893</v>
      </c>
      <c r="D603" s="21" t="s">
        <v>894</v>
      </c>
      <c r="E603" s="20">
        <v>154</v>
      </c>
      <c r="F603" s="20">
        <v>154</v>
      </c>
      <c r="G603" s="22">
        <v>0.7</v>
      </c>
      <c r="H603" s="23">
        <v>5.9999999999999998E-41</v>
      </c>
      <c r="I603" s="20">
        <v>45.13</v>
      </c>
      <c r="J603" s="20"/>
    </row>
    <row r="604" spans="1:10" x14ac:dyDescent="0.2">
      <c r="A604" s="20" t="str">
        <f>HYPERLINK("https://www.ncbi.nlm.nih.gov/protein/XP_040850346.1?report=genbank&amp;log$=prottop&amp;blast_rank=130&amp;RID=DNNRD06A013","XP_040850346.1")</f>
        <v>XP_040850346.1</v>
      </c>
      <c r="B604" s="45">
        <v>311</v>
      </c>
      <c r="C604" s="20" t="s">
        <v>895</v>
      </c>
      <c r="D604" s="21" t="s">
        <v>894</v>
      </c>
      <c r="E604" s="20">
        <v>365</v>
      </c>
      <c r="F604" s="20">
        <v>365</v>
      </c>
      <c r="G604" s="22">
        <v>0.9</v>
      </c>
      <c r="H604" s="23">
        <v>2.0000000000000001E-123</v>
      </c>
      <c r="I604" s="20">
        <v>77.459999999999994</v>
      </c>
      <c r="J604" s="20"/>
    </row>
    <row r="605" spans="1:10" x14ac:dyDescent="0.2">
      <c r="A605" s="20" t="str">
        <f>HYPERLINK("https://www.ncbi.nlm.nih.gov/protein/XP_004598948.1?report=genbank&amp;log$=prottop&amp;blast_rank=241&amp;RID=DNNRD06A013","XP_004598948.1")</f>
        <v>XP_004598948.1</v>
      </c>
      <c r="B605" s="45">
        <v>233</v>
      </c>
      <c r="C605" s="20" t="s">
        <v>896</v>
      </c>
      <c r="D605" s="21" t="s">
        <v>897</v>
      </c>
      <c r="E605" s="20">
        <v>155</v>
      </c>
      <c r="F605" s="20">
        <v>155</v>
      </c>
      <c r="G605" s="22">
        <v>0.7</v>
      </c>
      <c r="H605" s="23">
        <v>5E-42</v>
      </c>
      <c r="I605" s="20">
        <v>45.13</v>
      </c>
      <c r="J605" s="20"/>
    </row>
    <row r="606" spans="1:10" x14ac:dyDescent="0.2">
      <c r="A606" s="20" t="str">
        <f>HYPERLINK("https://www.ncbi.nlm.nih.gov/protein/XP_004581799.1?report=genbank&amp;log$=prottop&amp;blast_rank=126&amp;RID=DNNRD06A013","XP_004581799.1")</f>
        <v>XP_004581799.1</v>
      </c>
      <c r="B606" s="45">
        <v>312</v>
      </c>
      <c r="C606" s="20" t="s">
        <v>898</v>
      </c>
      <c r="D606" s="21" t="s">
        <v>897</v>
      </c>
      <c r="E606" s="20">
        <v>367</v>
      </c>
      <c r="F606" s="20">
        <v>367</v>
      </c>
      <c r="G606" s="22">
        <v>0.9</v>
      </c>
      <c r="H606" s="23">
        <v>3E-124</v>
      </c>
      <c r="I606" s="20">
        <v>76.760000000000005</v>
      </c>
      <c r="J606" s="20"/>
    </row>
    <row r="607" spans="1:10" x14ac:dyDescent="0.2">
      <c r="A607" s="20" t="str">
        <f>HYPERLINK("https://www.ncbi.nlm.nih.gov/protein/XP_004645186.1?report=genbank&amp;log$=prottop&amp;blast_rank=227&amp;RID=DNNRD06A013","XP_004645186.1")</f>
        <v>XP_004645186.1</v>
      </c>
      <c r="B607" s="45">
        <v>236</v>
      </c>
      <c r="C607" s="20" t="s">
        <v>899</v>
      </c>
      <c r="D607" s="21" t="s">
        <v>900</v>
      </c>
      <c r="E607" s="20">
        <v>157</v>
      </c>
      <c r="F607" s="20">
        <v>157</v>
      </c>
      <c r="G607" s="22">
        <v>0.7</v>
      </c>
      <c r="H607" s="23">
        <v>6.9999999999999999E-43</v>
      </c>
      <c r="I607" s="20">
        <v>46.19</v>
      </c>
      <c r="J607" s="20"/>
    </row>
    <row r="608" spans="1:10" x14ac:dyDescent="0.2">
      <c r="A608" s="20" t="str">
        <f>HYPERLINK("https://www.ncbi.nlm.nih.gov/protein/XP_004642200.1?report=genbank&amp;log$=prottop&amp;blast_rank=120&amp;RID=DNNRD06A013","XP_004642200.1")</f>
        <v>XP_004642200.1</v>
      </c>
      <c r="B608" s="45">
        <v>313</v>
      </c>
      <c r="C608" s="20" t="s">
        <v>901</v>
      </c>
      <c r="D608" s="21" t="s">
        <v>900</v>
      </c>
      <c r="E608" s="20">
        <v>375</v>
      </c>
      <c r="F608" s="20">
        <v>375</v>
      </c>
      <c r="G608" s="22">
        <v>1</v>
      </c>
      <c r="H608" s="23">
        <v>4.0000000000000001E-127</v>
      </c>
      <c r="I608" s="20">
        <v>78.98</v>
      </c>
      <c r="J608" s="20"/>
    </row>
    <row r="609" spans="1:10" x14ac:dyDescent="0.2">
      <c r="A609" s="20" t="str">
        <f>HYPERLINK("https://www.ncbi.nlm.nih.gov/protein/XP_014784354.1?report=genbank&amp;log$=prottop&amp;blast_rank=565&amp;RID=DNNRD06A013","XP_014784354.1")</f>
        <v>XP_014784354.1</v>
      </c>
      <c r="B609" s="45">
        <v>321</v>
      </c>
      <c r="C609" s="20" t="s">
        <v>902</v>
      </c>
      <c r="D609" s="21" t="s">
        <v>903</v>
      </c>
      <c r="E609" s="20">
        <v>85.5</v>
      </c>
      <c r="F609" s="20">
        <v>144</v>
      </c>
      <c r="G609" s="22">
        <v>0.67</v>
      </c>
      <c r="H609" s="23">
        <v>4.0000000000000003E-15</v>
      </c>
      <c r="I609" s="20">
        <v>41.29</v>
      </c>
      <c r="J609" s="20"/>
    </row>
    <row r="610" spans="1:10" x14ac:dyDescent="0.2">
      <c r="A610" s="20" t="str">
        <f>HYPERLINK("https://www.ncbi.nlm.nih.gov/protein/XP_029658271.1?report=genbank&amp;log$=prottop&amp;blast_rank=546&amp;RID=DNNRD06A013","XP_029658271.1")</f>
        <v>XP_029658271.1</v>
      </c>
      <c r="B610" s="45">
        <v>324</v>
      </c>
      <c r="C610" s="20" t="s">
        <v>904</v>
      </c>
      <c r="D610" s="21" t="s">
        <v>905</v>
      </c>
      <c r="E610" s="20">
        <v>89.7</v>
      </c>
      <c r="F610" s="20">
        <v>150</v>
      </c>
      <c r="G610" s="22">
        <v>0.67</v>
      </c>
      <c r="H610" s="23">
        <v>9.9999999999999998E-17</v>
      </c>
      <c r="I610" s="20">
        <v>43.23</v>
      </c>
      <c r="J610" s="20"/>
    </row>
    <row r="611" spans="1:10" x14ac:dyDescent="0.2">
      <c r="A611" s="20" t="str">
        <f>HYPERLINK("https://www.ncbi.nlm.nih.gov/protein/XP_004409210.1?report=genbank&amp;log$=prottop&amp;blast_rank=330&amp;RID=DNNRD06A013","XP_004409210.1")</f>
        <v>XP_004409210.1</v>
      </c>
      <c r="B611" s="45">
        <v>236</v>
      </c>
      <c r="C611" s="20" t="s">
        <v>906</v>
      </c>
      <c r="D611" s="21" t="s">
        <v>907</v>
      </c>
      <c r="E611" s="20">
        <v>150</v>
      </c>
      <c r="F611" s="20">
        <v>150</v>
      </c>
      <c r="G611" s="22">
        <v>0.7</v>
      </c>
      <c r="H611" s="23">
        <v>3.0000000000000002E-40</v>
      </c>
      <c r="I611" s="20">
        <v>46.46</v>
      </c>
      <c r="J611" s="20"/>
    </row>
    <row r="612" spans="1:10" x14ac:dyDescent="0.2">
      <c r="A612" s="20" t="str">
        <f>HYPERLINK("https://www.ncbi.nlm.nih.gov/protein/XP_004399250.1?report=genbank&amp;log$=prottop&amp;blast_rank=56&amp;RID=DNNRD06A013","XP_004399250.1")</f>
        <v>XP_004399250.1</v>
      </c>
      <c r="B612" s="45">
        <v>314</v>
      </c>
      <c r="C612" s="20" t="s">
        <v>908</v>
      </c>
      <c r="D612" s="21" t="s">
        <v>907</v>
      </c>
      <c r="E612" s="20">
        <v>404</v>
      </c>
      <c r="F612" s="20">
        <v>404</v>
      </c>
      <c r="G612" s="22">
        <v>1</v>
      </c>
      <c r="H612" s="23">
        <v>2.0000000000000001E-138</v>
      </c>
      <c r="I612" s="20">
        <v>80.569999999999993</v>
      </c>
      <c r="J612" s="20"/>
    </row>
    <row r="613" spans="1:10" x14ac:dyDescent="0.2">
      <c r="A613" s="20" t="str">
        <f>HYPERLINK("https://www.ncbi.nlm.nih.gov/protein/XP_020741097.1?report=genbank&amp;log$=prottop&amp;blast_rank=302&amp;RID=DNNRD06A013","XP_020741097.1")</f>
        <v>XP_020741097.1</v>
      </c>
      <c r="B613" s="45">
        <v>236</v>
      </c>
      <c r="C613" s="20" t="s">
        <v>909</v>
      </c>
      <c r="D613" s="21" t="s">
        <v>910</v>
      </c>
      <c r="E613" s="20">
        <v>152</v>
      </c>
      <c r="F613" s="20">
        <v>152</v>
      </c>
      <c r="G613" s="22">
        <v>0.7</v>
      </c>
      <c r="H613" s="23">
        <v>8E-41</v>
      </c>
      <c r="I613" s="20">
        <v>46.02</v>
      </c>
      <c r="J613" s="20"/>
    </row>
    <row r="614" spans="1:10" x14ac:dyDescent="0.2">
      <c r="A614" s="20" t="str">
        <f>HYPERLINK("https://www.ncbi.nlm.nih.gov/protein/XP_020771641.1?report=genbank&amp;log$=prottop&amp;blast_rank=145&amp;RID=DNNRD06A013","XP_020771641.1")</f>
        <v>XP_020771641.1</v>
      </c>
      <c r="B614" s="45">
        <v>355</v>
      </c>
      <c r="C614" s="20" t="s">
        <v>911</v>
      </c>
      <c r="D614" s="21" t="s">
        <v>910</v>
      </c>
      <c r="E614" s="20">
        <v>361</v>
      </c>
      <c r="F614" s="20">
        <v>361</v>
      </c>
      <c r="G614" s="22">
        <v>1</v>
      </c>
      <c r="H614" s="23">
        <v>3.9999999999999999E-121</v>
      </c>
      <c r="I614" s="20">
        <v>78.41</v>
      </c>
      <c r="J614" s="20"/>
    </row>
    <row r="615" spans="1:10" x14ac:dyDescent="0.2">
      <c r="A615" s="20" t="str">
        <f>HYPERLINK("https://www.ncbi.nlm.nih.gov/protein/XP_032672692.1?report=genbank&amp;log$=prottop&amp;blast_rank=820&amp;RID=DNNRD06A013","XP_032672692.1")</f>
        <v>XP_032672692.1</v>
      </c>
      <c r="B615" s="45">
        <v>338</v>
      </c>
      <c r="C615" s="20" t="s">
        <v>912</v>
      </c>
      <c r="D615" s="21" t="s">
        <v>913</v>
      </c>
      <c r="E615" s="20">
        <v>58.5</v>
      </c>
      <c r="F615" s="20">
        <v>58.5</v>
      </c>
      <c r="G615" s="22">
        <v>0.47</v>
      </c>
      <c r="H615" s="23">
        <v>7.9999999999999996E-6</v>
      </c>
      <c r="I615" s="20">
        <v>33.99</v>
      </c>
      <c r="J615" s="20"/>
    </row>
    <row r="616" spans="1:10" x14ac:dyDescent="0.2">
      <c r="A616" s="20" t="str">
        <f>HYPERLINK("https://www.ncbi.nlm.nih.gov/protein/XP_022899993.1?report=genbank&amp;log$=prottop&amp;blast_rank=662&amp;RID=DNNRD06A013","XP_022899993.1")</f>
        <v>XP_022899993.1</v>
      </c>
      <c r="B616" s="45">
        <v>338</v>
      </c>
      <c r="C616" s="20" t="s">
        <v>914</v>
      </c>
      <c r="D616" s="21" t="s">
        <v>915</v>
      </c>
      <c r="E616" s="20">
        <v>76.3</v>
      </c>
      <c r="F616" s="20">
        <v>76.3</v>
      </c>
      <c r="G616" s="22">
        <v>0.49</v>
      </c>
      <c r="H616" s="23">
        <v>7.9999999999999998E-12</v>
      </c>
      <c r="I616" s="20">
        <v>32.909999999999997</v>
      </c>
      <c r="J616" s="20"/>
    </row>
    <row r="617" spans="1:10" x14ac:dyDescent="0.2">
      <c r="A617" s="20" t="str">
        <f>HYPERLINK("https://www.ncbi.nlm.nih.gov/protein/XP_022900002.1?report=genbank&amp;log$=prottop&amp;blast_rank=786&amp;RID=DNNRD06A013","XP_022900002.1")</f>
        <v>XP_022900002.1</v>
      </c>
      <c r="B617" s="45">
        <v>283</v>
      </c>
      <c r="C617" s="20" t="s">
        <v>916</v>
      </c>
      <c r="D617" s="21" t="s">
        <v>915</v>
      </c>
      <c r="E617" s="20">
        <v>60.5</v>
      </c>
      <c r="F617" s="20">
        <v>60.5</v>
      </c>
      <c r="G617" s="22">
        <v>0.32</v>
      </c>
      <c r="H617" s="23">
        <v>9.9999999999999995E-7</v>
      </c>
      <c r="I617" s="20">
        <v>35.58</v>
      </c>
      <c r="J617" s="20"/>
    </row>
    <row r="618" spans="1:10" x14ac:dyDescent="0.2">
      <c r="A618" s="20" t="str">
        <f>HYPERLINK("https://www.ncbi.nlm.nih.gov/protein/XP_036031043.1?report=genbank&amp;log$=prottop&amp;blast_rank=414&amp;RID=DNNRD06A013","XP_036031043.1")</f>
        <v>XP_036031043.1</v>
      </c>
      <c r="B618" s="45">
        <v>236</v>
      </c>
      <c r="C618" s="20" t="s">
        <v>917</v>
      </c>
      <c r="D618" s="21" t="s">
        <v>918</v>
      </c>
      <c r="E618" s="20">
        <v>143</v>
      </c>
      <c r="F618" s="20">
        <v>143</v>
      </c>
      <c r="G618" s="22">
        <v>0.7</v>
      </c>
      <c r="H618" s="23">
        <v>2.0000000000000001E-37</v>
      </c>
      <c r="I618" s="20">
        <v>43.81</v>
      </c>
      <c r="J618" s="20"/>
    </row>
    <row r="619" spans="1:10" x14ac:dyDescent="0.2">
      <c r="A619" s="20" t="str">
        <f>HYPERLINK("https://www.ncbi.nlm.nih.gov/protein/XP_036050119.1?report=genbank&amp;log$=prottop&amp;blast_rank=151&amp;RID=DNNRD06A013","XP_036050119.1")</f>
        <v>XP_036050119.1</v>
      </c>
      <c r="B619" s="45">
        <v>313</v>
      </c>
      <c r="C619" s="20" t="s">
        <v>919</v>
      </c>
      <c r="D619" s="21" t="s">
        <v>918</v>
      </c>
      <c r="E619" s="20">
        <v>356</v>
      </c>
      <c r="F619" s="20">
        <v>356</v>
      </c>
      <c r="G619" s="22">
        <v>1</v>
      </c>
      <c r="H619" s="23">
        <v>1E-119</v>
      </c>
      <c r="I619" s="20">
        <v>76.83</v>
      </c>
      <c r="J619" s="20"/>
    </row>
    <row r="620" spans="1:10" x14ac:dyDescent="0.2">
      <c r="A620" s="20" t="str">
        <f>HYPERLINK("https://www.ncbi.nlm.nih.gov/protein/XP_011346576.1?report=genbank&amp;log$=prottop&amp;blast_rank=884&amp;RID=DNNRD06A013","XP_011346576.1")</f>
        <v>XP_011346576.1</v>
      </c>
      <c r="B620" s="45">
        <v>332</v>
      </c>
      <c r="C620" s="20" t="s">
        <v>920</v>
      </c>
      <c r="D620" s="21" t="s">
        <v>921</v>
      </c>
      <c r="E620" s="20">
        <v>51.2</v>
      </c>
      <c r="F620" s="20">
        <v>51.2</v>
      </c>
      <c r="G620" s="22">
        <v>0.46</v>
      </c>
      <c r="H620" s="20">
        <v>2E-3</v>
      </c>
      <c r="I620" s="20">
        <v>33.33</v>
      </c>
      <c r="J620" s="20"/>
    </row>
    <row r="621" spans="1:10" x14ac:dyDescent="0.2">
      <c r="A621" s="20" t="str">
        <f>HYPERLINK("https://www.ncbi.nlm.nih.gov/protein/XP_009172231.1?report=genbank&amp;log$=prottop&amp;blast_rank=488&amp;RID=DNNRD06A013","XP_009172231.1")</f>
        <v>XP_009172231.1</v>
      </c>
      <c r="B621" s="45">
        <v>303</v>
      </c>
      <c r="C621" s="20" t="s">
        <v>922</v>
      </c>
      <c r="D621" s="21" t="s">
        <v>923</v>
      </c>
      <c r="E621" s="20">
        <v>108</v>
      </c>
      <c r="F621" s="20">
        <v>108</v>
      </c>
      <c r="G621" s="22">
        <v>0.71</v>
      </c>
      <c r="H621" s="23">
        <v>9.9999999999999996E-24</v>
      </c>
      <c r="I621" s="20">
        <v>28.96</v>
      </c>
      <c r="J621" s="20"/>
    </row>
    <row r="622" spans="1:10" x14ac:dyDescent="0.2">
      <c r="A622" s="20" t="str">
        <f>HYPERLINK("https://www.ncbi.nlm.nih.gov/protein/XP_020630615.1?report=genbank&amp;log$=prottop&amp;blast_rank=504&amp;RID=DNNRD06A013","XP_020630615.1")</f>
        <v>XP_020630615.1</v>
      </c>
      <c r="B622" s="45">
        <v>218</v>
      </c>
      <c r="C622" s="20" t="s">
        <v>924</v>
      </c>
      <c r="D622" s="21" t="s">
        <v>925</v>
      </c>
      <c r="E622" s="20">
        <v>101</v>
      </c>
      <c r="F622" s="20">
        <v>101</v>
      </c>
      <c r="G622" s="22">
        <v>0.66</v>
      </c>
      <c r="H622" s="23">
        <v>9.9999999999999991E-22</v>
      </c>
      <c r="I622" s="20">
        <v>31.96</v>
      </c>
      <c r="J622" s="20"/>
    </row>
    <row r="623" spans="1:10" x14ac:dyDescent="0.2">
      <c r="A623" s="20" t="str">
        <f>HYPERLINK("https://www.ncbi.nlm.nih.gov/protein/XP_004286912.1?report=genbank&amp;log$=prottop&amp;blast_rank=512&amp;RID=DNNRD06A013","XP_004286912.1")</f>
        <v>XP_004286912.1</v>
      </c>
      <c r="B623" s="45">
        <v>215</v>
      </c>
      <c r="C623" s="20" t="s">
        <v>926</v>
      </c>
      <c r="D623" s="21" t="s">
        <v>927</v>
      </c>
      <c r="E623" s="20">
        <v>98.6</v>
      </c>
      <c r="F623" s="20">
        <v>98.6</v>
      </c>
      <c r="G623" s="22">
        <v>0.7</v>
      </c>
      <c r="H623" s="23">
        <v>9.9999999999999995E-21</v>
      </c>
      <c r="I623" s="20">
        <v>35.24</v>
      </c>
      <c r="J623" s="20"/>
    </row>
    <row r="624" spans="1:10" x14ac:dyDescent="0.2">
      <c r="A624" s="20" t="str">
        <f>HYPERLINK("https://www.ncbi.nlm.nih.gov/protein/XP_004283946.1?report=genbank&amp;log$=prottop&amp;blast_rank=35&amp;RID=DNNRD06A013","XP_004283946.1")</f>
        <v>XP_004283946.1</v>
      </c>
      <c r="B624" s="45">
        <v>314</v>
      </c>
      <c r="C624" s="20" t="s">
        <v>928</v>
      </c>
      <c r="D624" s="21" t="s">
        <v>927</v>
      </c>
      <c r="E624" s="20">
        <v>410</v>
      </c>
      <c r="F624" s="20">
        <v>410</v>
      </c>
      <c r="G624" s="22">
        <v>1</v>
      </c>
      <c r="H624" s="23">
        <v>4.0000000000000002E-141</v>
      </c>
      <c r="I624" s="20">
        <v>83.12</v>
      </c>
      <c r="J624" s="20"/>
    </row>
    <row r="625" spans="1:10" x14ac:dyDescent="0.2">
      <c r="A625" s="20" t="str">
        <f>HYPERLINK("https://www.ncbi.nlm.nih.gov/protein/XP_028923388.1?report=genbank&amp;log$=prottop&amp;blast_rank=213&amp;RID=DNNRD06A013","XP_028923388.1")</f>
        <v>XP_028923388.1</v>
      </c>
      <c r="B625" s="45">
        <v>240</v>
      </c>
      <c r="C625" s="20" t="s">
        <v>929</v>
      </c>
      <c r="D625" s="21" t="s">
        <v>930</v>
      </c>
      <c r="E625" s="20">
        <v>161</v>
      </c>
      <c r="F625" s="20">
        <v>161</v>
      </c>
      <c r="G625" s="22">
        <v>0.7</v>
      </c>
      <c r="H625" s="23">
        <v>1.9999999999999999E-44</v>
      </c>
      <c r="I625" s="20">
        <v>43.81</v>
      </c>
      <c r="J625" s="20"/>
    </row>
    <row r="626" spans="1:10" x14ac:dyDescent="0.2">
      <c r="A626" s="20" t="str">
        <f>HYPERLINK("https://www.ncbi.nlm.nih.gov/protein/XP_028906636.1?report=genbank&amp;log$=prottop&amp;blast_rank=194&amp;RID=DNNRD06A013","XP_028906636.1")</f>
        <v>XP_028906636.1</v>
      </c>
      <c r="B626" s="45">
        <v>340</v>
      </c>
      <c r="C626" s="20" t="s">
        <v>931</v>
      </c>
      <c r="D626" s="21" t="s">
        <v>930</v>
      </c>
      <c r="E626" s="20">
        <v>246</v>
      </c>
      <c r="F626" s="20">
        <v>246</v>
      </c>
      <c r="G626" s="22">
        <v>0.71</v>
      </c>
      <c r="H626" s="23">
        <v>3.0000000000000002E-76</v>
      </c>
      <c r="I626" s="20">
        <v>58.87</v>
      </c>
      <c r="J626" s="20"/>
    </row>
    <row r="627" spans="1:10" x14ac:dyDescent="0.2">
      <c r="A627" s="20" t="str">
        <f>HYPERLINK("https://www.ncbi.nlm.nih.gov/protein/XP_028906637.1?report=genbank&amp;log$=prottop&amp;blast_rank=193&amp;RID=DNNRD06A013","XP_028906637.1")</f>
        <v>XP_028906637.1</v>
      </c>
      <c r="B627" s="45">
        <v>335</v>
      </c>
      <c r="C627" s="20" t="s">
        <v>932</v>
      </c>
      <c r="D627" s="21" t="s">
        <v>930</v>
      </c>
      <c r="E627" s="20">
        <v>246</v>
      </c>
      <c r="F627" s="20">
        <v>246</v>
      </c>
      <c r="G627" s="22">
        <v>0.71</v>
      </c>
      <c r="H627" s="23">
        <v>1.9999999999999999E-76</v>
      </c>
      <c r="I627" s="20">
        <v>58.87</v>
      </c>
      <c r="J627" s="20"/>
    </row>
    <row r="628" spans="1:10" x14ac:dyDescent="0.2">
      <c r="A628" s="20" t="str">
        <f>HYPERLINK("https://www.ncbi.nlm.nih.gov/protein/XP_012279180.1?report=genbank&amp;log$=prottop&amp;blast_rank=788&amp;RID=DNNRD06A013","XP_012279180.1")</f>
        <v>XP_012279180.1</v>
      </c>
      <c r="B628" s="45">
        <v>229</v>
      </c>
      <c r="C628" s="20" t="s">
        <v>933</v>
      </c>
      <c r="D628" s="21" t="s">
        <v>934</v>
      </c>
      <c r="E628" s="20">
        <v>59.7</v>
      </c>
      <c r="F628" s="20">
        <v>59.7</v>
      </c>
      <c r="G628" s="22">
        <v>0.7</v>
      </c>
      <c r="H628" s="23">
        <v>1.9999999999999999E-6</v>
      </c>
      <c r="I628" s="20">
        <v>30.04</v>
      </c>
      <c r="J628" s="20"/>
    </row>
    <row r="629" spans="1:10" x14ac:dyDescent="0.2">
      <c r="A629" s="20" t="str">
        <f>HYPERLINK("https://www.ncbi.nlm.nih.gov/protein/XP_012282260.1?report=genbank&amp;log$=prottop&amp;blast_rank=704&amp;RID=DNNRD06A013","XP_012282260.1")</f>
        <v>XP_012282260.1</v>
      </c>
      <c r="B629" s="45">
        <v>215</v>
      </c>
      <c r="C629" s="20" t="s">
        <v>935</v>
      </c>
      <c r="D629" s="21" t="s">
        <v>934</v>
      </c>
      <c r="E629" s="20">
        <v>70.099999999999994</v>
      </c>
      <c r="F629" s="20">
        <v>70.099999999999994</v>
      </c>
      <c r="G629" s="22">
        <v>0.69</v>
      </c>
      <c r="H629" s="23">
        <v>3E-10</v>
      </c>
      <c r="I629" s="20">
        <v>29.09</v>
      </c>
      <c r="J629" s="20"/>
    </row>
    <row r="630" spans="1:10" x14ac:dyDescent="0.2">
      <c r="A630" s="20" t="str">
        <f>HYPERLINK("https://www.ncbi.nlm.nih.gov/protein/XP_012282259.1?report=genbank&amp;log$=prottop&amp;blast_rank=849&amp;RID=DNNRD06A013","XP_012282259.1")</f>
        <v>XP_012282259.1</v>
      </c>
      <c r="B630" s="45">
        <v>345</v>
      </c>
      <c r="C630" s="20" t="s">
        <v>936</v>
      </c>
      <c r="D630" s="21" t="s">
        <v>934</v>
      </c>
      <c r="E630" s="20">
        <v>56.6</v>
      </c>
      <c r="F630" s="20">
        <v>56.6</v>
      </c>
      <c r="G630" s="22">
        <v>0.5</v>
      </c>
      <c r="H630" s="23">
        <v>4.0000000000000003E-5</v>
      </c>
      <c r="I630" s="20">
        <v>30.82</v>
      </c>
      <c r="J630" s="20"/>
    </row>
    <row r="631" spans="1:10" x14ac:dyDescent="0.2">
      <c r="A631" s="20" t="str">
        <f>HYPERLINK("https://www.ncbi.nlm.nih.gov/protein/XP_007955393.1?report=genbank&amp;log$=prottop&amp;blast_rank=275&amp;RID=DNNRD06A013","XP_007955393.1")</f>
        <v>XP_007955393.1</v>
      </c>
      <c r="B631" s="45">
        <v>236</v>
      </c>
      <c r="C631" s="20" t="s">
        <v>937</v>
      </c>
      <c r="D631" s="21" t="s">
        <v>938</v>
      </c>
      <c r="E631" s="20">
        <v>152</v>
      </c>
      <c r="F631" s="20">
        <v>152</v>
      </c>
      <c r="G631" s="22">
        <v>0.7</v>
      </c>
      <c r="H631" s="23">
        <v>4E-41</v>
      </c>
      <c r="I631" s="20">
        <v>45.13</v>
      </c>
      <c r="J631" s="20"/>
    </row>
    <row r="632" spans="1:10" x14ac:dyDescent="0.2">
      <c r="A632" s="20" t="str">
        <f>HYPERLINK("https://www.ncbi.nlm.nih.gov/protein/XP_007953481.1?report=genbank&amp;log$=prottop&amp;blast_rank=149&amp;RID=DNNRD06A013","XP_007953481.1")</f>
        <v>XP_007953481.1</v>
      </c>
      <c r="B632" s="45">
        <v>314</v>
      </c>
      <c r="C632" s="20" t="s">
        <v>939</v>
      </c>
      <c r="D632" s="21" t="s">
        <v>938</v>
      </c>
      <c r="E632" s="20">
        <v>358</v>
      </c>
      <c r="F632" s="20">
        <v>358</v>
      </c>
      <c r="G632" s="22">
        <v>1</v>
      </c>
      <c r="H632" s="23">
        <v>2E-120</v>
      </c>
      <c r="I632" s="20">
        <v>78.66</v>
      </c>
      <c r="J632" s="20"/>
    </row>
    <row r="633" spans="1:10" x14ac:dyDescent="0.2">
      <c r="A633" s="20" t="str">
        <f>HYPERLINK("https://www.ncbi.nlm.nih.gov/protein/XP_008248553.1?report=genbank&amp;log$=prottop&amp;blast_rank=220&amp;RID=DNNRD06A013","XP_008248553.1")</f>
        <v>XP_008248553.1</v>
      </c>
      <c r="B633" s="45">
        <v>236</v>
      </c>
      <c r="C633" s="20" t="s">
        <v>940</v>
      </c>
      <c r="D633" s="21" t="s">
        <v>941</v>
      </c>
      <c r="E633" s="20">
        <v>159</v>
      </c>
      <c r="F633" s="20">
        <v>159</v>
      </c>
      <c r="G633" s="22">
        <v>0.7</v>
      </c>
      <c r="H633" s="23">
        <v>1.0000000000000001E-43</v>
      </c>
      <c r="I633" s="20">
        <v>46.9</v>
      </c>
      <c r="J633" s="20"/>
    </row>
    <row r="634" spans="1:10" x14ac:dyDescent="0.2">
      <c r="A634" s="20" t="str">
        <f>HYPERLINK("https://www.ncbi.nlm.nih.gov/protein/XP_008258825.1?report=genbank&amp;log$=prottop&amp;blast_rank=91&amp;RID=DNNRD06A013","XP_008258825.1")</f>
        <v>XP_008258825.1</v>
      </c>
      <c r="B634" s="45">
        <v>322</v>
      </c>
      <c r="C634" s="20" t="s">
        <v>942</v>
      </c>
      <c r="D634" s="21" t="s">
        <v>941</v>
      </c>
      <c r="E634" s="20">
        <v>392</v>
      </c>
      <c r="F634" s="20">
        <v>392</v>
      </c>
      <c r="G634" s="22">
        <v>1</v>
      </c>
      <c r="H634" s="23">
        <v>5.0000000000000003E-134</v>
      </c>
      <c r="I634" s="20">
        <v>79.3</v>
      </c>
      <c r="J634" s="20"/>
    </row>
    <row r="635" spans="1:10" x14ac:dyDescent="0.2">
      <c r="A635" s="20" t="str">
        <f>HYPERLINK("https://www.ncbi.nlm.nih.gov/protein/XP_002713390.2?report=genbank&amp;log$=prottop&amp;blast_rank=89&amp;RID=DNNRD06A013","XP_002713390.2")</f>
        <v>XP_002713390.2</v>
      </c>
      <c r="B635" s="45">
        <v>314</v>
      </c>
      <c r="C635" s="20" t="s">
        <v>943</v>
      </c>
      <c r="D635" s="21" t="s">
        <v>941</v>
      </c>
      <c r="E635" s="20">
        <v>392</v>
      </c>
      <c r="F635" s="20">
        <v>392</v>
      </c>
      <c r="G635" s="22">
        <v>1</v>
      </c>
      <c r="H635" s="23">
        <v>4.0000000000000002E-134</v>
      </c>
      <c r="I635" s="20">
        <v>79.3</v>
      </c>
      <c r="J635" s="20"/>
    </row>
    <row r="636" spans="1:10" x14ac:dyDescent="0.2">
      <c r="A636" s="20" t="str">
        <f>HYPERLINK("https://www.ncbi.nlm.nih.gov/protein/XP_040121491.1?report=genbank&amp;log$=prottop&amp;blast_rank=375&amp;RID=DNNRD06A013","XP_040121491.1")</f>
        <v>XP_040121491.1</v>
      </c>
      <c r="B636" s="45">
        <v>236</v>
      </c>
      <c r="C636" s="20" t="s">
        <v>944</v>
      </c>
      <c r="D636" s="21" t="s">
        <v>945</v>
      </c>
      <c r="E636" s="20">
        <v>148</v>
      </c>
      <c r="F636" s="20">
        <v>148</v>
      </c>
      <c r="G636" s="22">
        <v>0.7</v>
      </c>
      <c r="H636" s="23">
        <v>1.9999999999999999E-39</v>
      </c>
      <c r="I636" s="20">
        <v>45.58</v>
      </c>
      <c r="J636" s="20"/>
    </row>
    <row r="637" spans="1:10" x14ac:dyDescent="0.2">
      <c r="A637" s="20" t="str">
        <f>HYPERLINK("https://www.ncbi.nlm.nih.gov/protein/XP_040102938.1?report=genbank&amp;log$=prottop&amp;blast_rank=153&amp;RID=DNNRD06A013","XP_040102938.1")</f>
        <v>XP_040102938.1</v>
      </c>
      <c r="B637" s="45">
        <v>315</v>
      </c>
      <c r="C637" s="20" t="s">
        <v>946</v>
      </c>
      <c r="D637" s="21" t="s">
        <v>945</v>
      </c>
      <c r="E637" s="20">
        <v>355</v>
      </c>
      <c r="F637" s="20">
        <v>355</v>
      </c>
      <c r="G637" s="22">
        <v>1</v>
      </c>
      <c r="H637" s="23">
        <v>4.0000000000000001E-119</v>
      </c>
      <c r="I637" s="20">
        <v>76.19</v>
      </c>
      <c r="J637" s="20"/>
    </row>
    <row r="638" spans="1:10" x14ac:dyDescent="0.2">
      <c r="A638" s="20" t="str">
        <f>HYPERLINK("https://www.ncbi.nlm.nih.gov/protein/XP_029044638.2?report=genbank&amp;log$=prottop&amp;blast_rank=772&amp;RID=DNNRD06A013","XP_029044638.2")</f>
        <v>XP_029044638.2</v>
      </c>
      <c r="B638" s="45">
        <v>342</v>
      </c>
      <c r="C638" s="20" t="s">
        <v>947</v>
      </c>
      <c r="D638" s="21" t="s">
        <v>948</v>
      </c>
      <c r="E638" s="20">
        <v>62.4</v>
      </c>
      <c r="F638" s="20">
        <v>62.4</v>
      </c>
      <c r="G638" s="22">
        <v>0.62</v>
      </c>
      <c r="H638" s="23">
        <v>3.9999999999999998E-7</v>
      </c>
      <c r="I638" s="20">
        <v>33.33</v>
      </c>
      <c r="J638" s="20"/>
    </row>
    <row r="639" spans="1:10" x14ac:dyDescent="0.2">
      <c r="A639" s="20" t="str">
        <f>HYPERLINK("https://www.ncbi.nlm.nih.gov/protein/XP_029044641.2?report=genbank&amp;log$=prottop&amp;blast_rank=769&amp;RID=DNNRD06A013","XP_029044641.2")</f>
        <v>XP_029044641.2</v>
      </c>
      <c r="B639" s="45">
        <v>328</v>
      </c>
      <c r="C639" s="20" t="s">
        <v>949</v>
      </c>
      <c r="D639" s="21" t="s">
        <v>948</v>
      </c>
      <c r="E639" s="20">
        <v>62.4</v>
      </c>
      <c r="F639" s="20">
        <v>62.4</v>
      </c>
      <c r="G639" s="22">
        <v>0.62</v>
      </c>
      <c r="H639" s="23">
        <v>2.9999999999999999E-7</v>
      </c>
      <c r="I639" s="20">
        <v>33.33</v>
      </c>
      <c r="J639" s="20"/>
    </row>
    <row r="640" spans="1:10" x14ac:dyDescent="0.2">
      <c r="A640" s="20" t="str">
        <f>HYPERLINK("https://www.ncbi.nlm.nih.gov/protein/XP_034191406.1?report=genbank&amp;log$=prottop&amp;blast_rank=785&amp;RID=DNNRD06A013","XP_034191406.1")</f>
        <v>XP_034191406.1</v>
      </c>
      <c r="B640" s="45">
        <v>340</v>
      </c>
      <c r="C640" s="20" t="s">
        <v>950</v>
      </c>
      <c r="D640" s="21" t="s">
        <v>951</v>
      </c>
      <c r="E640" s="20">
        <v>60.8</v>
      </c>
      <c r="F640" s="20">
        <v>60.8</v>
      </c>
      <c r="G640" s="22">
        <v>0.42</v>
      </c>
      <c r="H640" s="23">
        <v>9.9999999999999995E-7</v>
      </c>
      <c r="I640" s="20">
        <v>38.06</v>
      </c>
      <c r="J640" s="20"/>
    </row>
    <row r="641" spans="1:10" x14ac:dyDescent="0.2">
      <c r="A641" s="20" t="str">
        <f>HYPERLINK("https://www.ncbi.nlm.nih.gov/protein/XP_034191414.1?report=genbank&amp;log$=prottop&amp;blast_rank=782&amp;RID=DNNRD06A013","XP_034191414.1")</f>
        <v>XP_034191414.1</v>
      </c>
      <c r="B641" s="45">
        <v>326</v>
      </c>
      <c r="C641" s="20" t="s">
        <v>952</v>
      </c>
      <c r="D641" s="21" t="s">
        <v>951</v>
      </c>
      <c r="E641" s="20">
        <v>60.8</v>
      </c>
      <c r="F641" s="20">
        <v>60.8</v>
      </c>
      <c r="G641" s="22">
        <v>0.42</v>
      </c>
      <c r="H641" s="23">
        <v>9.9999999999999995E-7</v>
      </c>
      <c r="I641" s="20">
        <v>38.06</v>
      </c>
      <c r="J641" s="20"/>
    </row>
    <row r="642" spans="1:10" x14ac:dyDescent="0.2">
      <c r="A642" s="20" t="str">
        <f>HYPERLINK("https://www.ncbi.nlm.nih.gov/protein/XP_028164963.1?report=genbank&amp;log$=prottop&amp;blast_rank=838&amp;RID=DNNRD06A013","XP_028164963.1")</f>
        <v>XP_028164963.1</v>
      </c>
      <c r="B642" s="45">
        <v>298</v>
      </c>
      <c r="C642" s="20" t="s">
        <v>953</v>
      </c>
      <c r="D642" s="21" t="s">
        <v>954</v>
      </c>
      <c r="E642" s="20">
        <v>57</v>
      </c>
      <c r="F642" s="20">
        <v>57</v>
      </c>
      <c r="G642" s="22">
        <v>0.5</v>
      </c>
      <c r="H642" s="23">
        <v>2.0000000000000002E-5</v>
      </c>
      <c r="I642" s="20">
        <v>30.54</v>
      </c>
      <c r="J642" s="20"/>
    </row>
    <row r="643" spans="1:10" x14ac:dyDescent="0.2">
      <c r="A643" s="20" t="str">
        <f>HYPERLINK("https://www.ncbi.nlm.nih.gov/protein/XP_028166870.1?report=genbank&amp;log$=prottop&amp;blast_rank=767&amp;RID=DNNRD06A013","XP_028166870.1")</f>
        <v>XP_028166870.1</v>
      </c>
      <c r="B643" s="45">
        <v>325</v>
      </c>
      <c r="C643" s="20" t="s">
        <v>955</v>
      </c>
      <c r="D643" s="21" t="s">
        <v>954</v>
      </c>
      <c r="E643" s="20">
        <v>62.8</v>
      </c>
      <c r="F643" s="20">
        <v>62.8</v>
      </c>
      <c r="G643" s="22">
        <v>0.62</v>
      </c>
      <c r="H643" s="23">
        <v>2.9999999999999999E-7</v>
      </c>
      <c r="I643" s="20">
        <v>29.29</v>
      </c>
      <c r="J643" s="20"/>
    </row>
    <row r="644" spans="1:10" x14ac:dyDescent="0.2">
      <c r="A644" s="20" t="str">
        <f>HYPERLINK("https://www.ncbi.nlm.nih.gov/protein/XP_012668646.1?report=genbank&amp;log$=prottop&amp;blast_rank=335&amp;RID=DNNRD06A013","XP_012668646.1")</f>
        <v>XP_012668646.1</v>
      </c>
      <c r="B644" s="45">
        <v>236</v>
      </c>
      <c r="C644" s="20" t="s">
        <v>956</v>
      </c>
      <c r="D644" s="21" t="s">
        <v>957</v>
      </c>
      <c r="E644" s="20">
        <v>150</v>
      </c>
      <c r="F644" s="20">
        <v>150</v>
      </c>
      <c r="G644" s="22">
        <v>0.7</v>
      </c>
      <c r="H644" s="23">
        <v>3.9999999999999997E-40</v>
      </c>
      <c r="I644" s="20">
        <v>45.13</v>
      </c>
      <c r="J644" s="20"/>
    </row>
    <row r="645" spans="1:10" x14ac:dyDescent="0.2">
      <c r="A645" s="20" t="str">
        <f>HYPERLINK("https://www.ncbi.nlm.nih.gov/protein/XP_003800608.1?report=genbank&amp;log$=prottop&amp;blast_rank=52&amp;RID=DNNRD06A013","XP_003800608.1")</f>
        <v>XP_003800608.1</v>
      </c>
      <c r="B645" s="45">
        <v>314</v>
      </c>
      <c r="C645" s="20" t="s">
        <v>958</v>
      </c>
      <c r="D645" s="21" t="s">
        <v>957</v>
      </c>
      <c r="E645" s="20">
        <v>405</v>
      </c>
      <c r="F645" s="20">
        <v>405</v>
      </c>
      <c r="G645" s="22">
        <v>1</v>
      </c>
      <c r="H645" s="23">
        <v>5.9999999999999998E-139</v>
      </c>
      <c r="I645" s="20">
        <v>83.12</v>
      </c>
      <c r="J645" s="20"/>
    </row>
    <row r="646" spans="1:10" x14ac:dyDescent="0.2">
      <c r="A646" s="20" t="str">
        <f>HYPERLINK("https://www.ncbi.nlm.nih.gov/protein/XP_004022715.2?report=genbank&amp;log$=prottop&amp;blast_rank=409&amp;RID=DNNRD06A013","XP_004022715.2")</f>
        <v>XP_004022715.2</v>
      </c>
      <c r="B646" s="45">
        <v>261</v>
      </c>
      <c r="C646" s="20" t="s">
        <v>959</v>
      </c>
      <c r="D646" s="21" t="s">
        <v>960</v>
      </c>
      <c r="E646" s="20">
        <v>144</v>
      </c>
      <c r="F646" s="20">
        <v>144</v>
      </c>
      <c r="G646" s="22">
        <v>0.7</v>
      </c>
      <c r="H646" s="23">
        <v>1.0000000000000001E-37</v>
      </c>
      <c r="I646" s="20">
        <v>45.13</v>
      </c>
      <c r="J646" s="20"/>
    </row>
    <row r="647" spans="1:10" x14ac:dyDescent="0.2">
      <c r="A647" s="20" t="str">
        <f>HYPERLINK("https://www.ncbi.nlm.nih.gov/protein/XP_042098489.1?report=genbank&amp;log$=prottop&amp;blast_rank=404&amp;RID=DNNRD06A013","XP_042098489.1")</f>
        <v>XP_042098489.1</v>
      </c>
      <c r="B647" s="45">
        <v>236</v>
      </c>
      <c r="C647" s="20" t="s">
        <v>961</v>
      </c>
      <c r="D647" s="21" t="s">
        <v>960</v>
      </c>
      <c r="E647" s="20">
        <v>144</v>
      </c>
      <c r="F647" s="20">
        <v>144</v>
      </c>
      <c r="G647" s="22">
        <v>0.7</v>
      </c>
      <c r="H647" s="23">
        <v>7.9999999999999997E-38</v>
      </c>
      <c r="I647" s="20">
        <v>45.13</v>
      </c>
      <c r="J647" s="20"/>
    </row>
    <row r="648" spans="1:10" x14ac:dyDescent="0.2">
      <c r="A648" s="20" t="str">
        <f>HYPERLINK("https://www.ncbi.nlm.nih.gov/protein/XP_004023447.4?report=genbank&amp;log$=prottop&amp;blast_rank=142&amp;RID=DNNRD06A013","XP_004023447.4")</f>
        <v>XP_004023447.4</v>
      </c>
      <c r="B648" s="45">
        <v>315</v>
      </c>
      <c r="C648" s="20" t="s">
        <v>962</v>
      </c>
      <c r="D648" s="21" t="s">
        <v>960</v>
      </c>
      <c r="E648" s="20">
        <v>360</v>
      </c>
      <c r="F648" s="20">
        <v>360</v>
      </c>
      <c r="G648" s="22">
        <v>1</v>
      </c>
      <c r="H648" s="23">
        <v>2E-121</v>
      </c>
      <c r="I648" s="20">
        <v>78.73</v>
      </c>
      <c r="J648" s="20"/>
    </row>
    <row r="649" spans="1:10" x14ac:dyDescent="0.2">
      <c r="A649" s="20" t="str">
        <f>HYPERLINK("https://www.ncbi.nlm.nih.gov/protein/WP_189536339.1?report=genbank&amp;log$=prottop&amp;blast_rank=883&amp;RID=DNNRD06A013","WP_189536339.1")</f>
        <v>WP_189536339.1</v>
      </c>
      <c r="B649" s="45">
        <v>244</v>
      </c>
      <c r="C649" s="20" t="s">
        <v>963</v>
      </c>
      <c r="D649" s="21" t="s">
        <v>964</v>
      </c>
      <c r="E649" s="20">
        <v>50.4</v>
      </c>
      <c r="F649" s="20">
        <v>50.4</v>
      </c>
      <c r="G649" s="22">
        <v>0.45</v>
      </c>
      <c r="H649" s="20">
        <v>2E-3</v>
      </c>
      <c r="I649" s="20">
        <v>30.2</v>
      </c>
      <c r="J649" s="20"/>
    </row>
    <row r="650" spans="1:10" x14ac:dyDescent="0.2">
      <c r="A650" s="20" t="str">
        <f>HYPERLINK("https://www.ncbi.nlm.nih.gov/protein/WP_028535486.1?report=genbank&amp;log$=prottop&amp;blast_rank=867&amp;RID=DNNRD06A013","WP_028535486.1")</f>
        <v>WP_028535486.1</v>
      </c>
      <c r="B650" s="45">
        <v>243</v>
      </c>
      <c r="C650" s="20" t="s">
        <v>965</v>
      </c>
      <c r="D650" s="21" t="s">
        <v>966</v>
      </c>
      <c r="E650" s="20">
        <v>54.3</v>
      </c>
      <c r="F650" s="20">
        <v>54.3</v>
      </c>
      <c r="G650" s="22">
        <v>0.45</v>
      </c>
      <c r="H650" s="23">
        <v>1E-4</v>
      </c>
      <c r="I650" s="20">
        <v>30.87</v>
      </c>
      <c r="J650" s="20"/>
    </row>
    <row r="651" spans="1:10" x14ac:dyDescent="0.2">
      <c r="A651" s="20" t="str">
        <f>HYPERLINK("https://www.ncbi.nlm.nih.gov/protein/XP_008962537.1?report=genbank&amp;log$=prottop&amp;blast_rank=312&amp;RID=DNNRD06A013","XP_008962537.1")</f>
        <v>XP_008962537.1</v>
      </c>
      <c r="B651" s="45">
        <v>236</v>
      </c>
      <c r="C651" s="20" t="s">
        <v>967</v>
      </c>
      <c r="D651" s="21" t="s">
        <v>968</v>
      </c>
      <c r="E651" s="20">
        <v>151</v>
      </c>
      <c r="F651" s="20">
        <v>151</v>
      </c>
      <c r="G651" s="22">
        <v>0.7</v>
      </c>
      <c r="H651" s="23">
        <v>9.9999999999999993E-41</v>
      </c>
      <c r="I651" s="20">
        <v>46.02</v>
      </c>
      <c r="J651" s="20"/>
    </row>
    <row r="652" spans="1:10" x14ac:dyDescent="0.2">
      <c r="A652" s="20" t="str">
        <f>HYPERLINK("https://www.ncbi.nlm.nih.gov/protein/XP_008969971.1?report=genbank&amp;log$=prottop&amp;blast_rank=7&amp;RID=DNNRD06A013","XP_008969971.1")</f>
        <v>XP_008969971.1</v>
      </c>
      <c r="B652" s="45">
        <v>374</v>
      </c>
      <c r="C652" s="20" t="s">
        <v>969</v>
      </c>
      <c r="D652" s="21" t="s">
        <v>968</v>
      </c>
      <c r="E652" s="20">
        <v>467</v>
      </c>
      <c r="F652" s="20">
        <v>467</v>
      </c>
      <c r="G652" s="22">
        <v>1</v>
      </c>
      <c r="H652" s="23">
        <v>1.9999999999999999E-162</v>
      </c>
      <c r="I652" s="20">
        <v>98.73</v>
      </c>
      <c r="J652" s="20"/>
    </row>
    <row r="653" spans="1:10" x14ac:dyDescent="0.2">
      <c r="A653" s="20" t="str">
        <f>HYPERLINK("https://www.ncbi.nlm.nih.gov/protein/XP_024211226.1?report=genbank&amp;log$=prottop&amp;blast_rank=44&amp;RID=DNNRD06A013","XP_024211226.1")</f>
        <v>XP_024211226.1</v>
      </c>
      <c r="B653" s="45">
        <v>336</v>
      </c>
      <c r="C653" s="20" t="s">
        <v>970</v>
      </c>
      <c r="D653" s="21" t="s">
        <v>971</v>
      </c>
      <c r="E653" s="20">
        <v>406</v>
      </c>
      <c r="F653" s="20">
        <v>406</v>
      </c>
      <c r="G653" s="22">
        <v>0.91</v>
      </c>
      <c r="H653" s="23">
        <v>2.9999999999999999E-139</v>
      </c>
      <c r="I653" s="20">
        <v>98.25</v>
      </c>
      <c r="J653" s="20"/>
    </row>
    <row r="654" spans="1:10" x14ac:dyDescent="0.2">
      <c r="A654" s="20" t="str">
        <f>HYPERLINK("https://www.ncbi.nlm.nih.gov/protein/XP_024211227.1?report=genbank&amp;log$=prottop&amp;blast_rank=5&amp;RID=DNNRD06A013","XP_024211227.1")</f>
        <v>XP_024211227.1</v>
      </c>
      <c r="B654" s="45">
        <v>314</v>
      </c>
      <c r="C654" s="20" t="s">
        <v>972</v>
      </c>
      <c r="D654" s="21" t="s">
        <v>971</v>
      </c>
      <c r="E654" s="20">
        <v>466</v>
      </c>
      <c r="F654" s="20">
        <v>466</v>
      </c>
      <c r="G654" s="22">
        <v>1</v>
      </c>
      <c r="H654" s="23">
        <v>3.9999999999999997E-163</v>
      </c>
      <c r="I654" s="20">
        <v>98.41</v>
      </c>
      <c r="J654" s="20"/>
    </row>
    <row r="655" spans="1:10" x14ac:dyDescent="0.2">
      <c r="A655" s="20" t="str">
        <f>HYPERLINK("https://www.ncbi.nlm.nih.gov/protein/XP_042785173.1?report=genbank&amp;log$=prottop&amp;blast_rank=67&amp;RID=DNNRD06A013","XP_042785173.1")</f>
        <v>XP_042785173.1</v>
      </c>
      <c r="B655" s="45">
        <v>314</v>
      </c>
      <c r="C655" s="20" t="s">
        <v>973</v>
      </c>
      <c r="D655" s="21" t="s">
        <v>974</v>
      </c>
      <c r="E655" s="20">
        <v>401</v>
      </c>
      <c r="F655" s="20">
        <v>401</v>
      </c>
      <c r="G655" s="22">
        <v>1</v>
      </c>
      <c r="H655" s="23">
        <v>9.9999999999999998E-138</v>
      </c>
      <c r="I655" s="20">
        <v>81.209999999999994</v>
      </c>
      <c r="J655" s="20"/>
    </row>
    <row r="656" spans="1:10" x14ac:dyDescent="0.2">
      <c r="A656" s="20" t="str">
        <f>HYPERLINK("https://www.ncbi.nlm.nih.gov/protein/XP_019293283.1?report=genbank&amp;log$=prottop&amp;blast_rank=255&amp;RID=DNNRD06A013","XP_019293283.1")</f>
        <v>XP_019293283.1</v>
      </c>
      <c r="B656" s="45">
        <v>236</v>
      </c>
      <c r="C656" s="20" t="s">
        <v>975</v>
      </c>
      <c r="D656" s="21" t="s">
        <v>976</v>
      </c>
      <c r="E656" s="20">
        <v>154</v>
      </c>
      <c r="F656" s="20">
        <v>154</v>
      </c>
      <c r="G656" s="22">
        <v>0.7</v>
      </c>
      <c r="H656" s="23">
        <v>1E-41</v>
      </c>
      <c r="I656" s="20">
        <v>46.46</v>
      </c>
      <c r="J656" s="20"/>
    </row>
    <row r="657" spans="1:10" x14ac:dyDescent="0.2">
      <c r="A657" s="20" t="str">
        <f>HYPERLINK("https://www.ncbi.nlm.nih.gov/protein/XP_019272252.1?report=genbank&amp;log$=prottop&amp;blast_rank=54&amp;RID=DNNRD06A013","XP_019272252.1")</f>
        <v>XP_019272252.1</v>
      </c>
      <c r="B657" s="45">
        <v>314</v>
      </c>
      <c r="C657" s="20" t="s">
        <v>977</v>
      </c>
      <c r="D657" s="21" t="s">
        <v>976</v>
      </c>
      <c r="E657" s="20">
        <v>404</v>
      </c>
      <c r="F657" s="20">
        <v>404</v>
      </c>
      <c r="G657" s="22">
        <v>1</v>
      </c>
      <c r="H657" s="23">
        <v>1.0000000000000001E-138</v>
      </c>
      <c r="I657" s="20">
        <v>81.53</v>
      </c>
      <c r="J657" s="20"/>
    </row>
    <row r="658" spans="1:10" x14ac:dyDescent="0.2">
      <c r="A658" s="20" t="str">
        <f>HYPERLINK("https://www.ncbi.nlm.nih.gov/protein/XP_015398979.2?report=genbank&amp;log$=prottop&amp;blast_rank=262&amp;RID=DNNRD06A013","XP_015398979.2")</f>
        <v>XP_015398979.2</v>
      </c>
      <c r="B658" s="45">
        <v>236</v>
      </c>
      <c r="C658" s="20" t="s">
        <v>978</v>
      </c>
      <c r="D658" s="21" t="s">
        <v>979</v>
      </c>
      <c r="E658" s="20">
        <v>153</v>
      </c>
      <c r="F658" s="20">
        <v>153</v>
      </c>
      <c r="G658" s="22">
        <v>0.7</v>
      </c>
      <c r="H658" s="23">
        <v>2E-41</v>
      </c>
      <c r="I658" s="20">
        <v>46.46</v>
      </c>
      <c r="J658" s="20"/>
    </row>
    <row r="659" spans="1:10" x14ac:dyDescent="0.2">
      <c r="A659" s="20" t="str">
        <f>HYPERLINK("https://www.ncbi.nlm.nih.gov/protein/XP_042834790.1?report=genbank&amp;log$=prottop&amp;blast_rank=58&amp;RID=DNNRD06A013","XP_042834790.1")</f>
        <v>XP_042834790.1</v>
      </c>
      <c r="B659" s="45">
        <v>314</v>
      </c>
      <c r="C659" s="20" t="s">
        <v>980</v>
      </c>
      <c r="D659" s="21" t="s">
        <v>979</v>
      </c>
      <c r="E659" s="20">
        <v>403</v>
      </c>
      <c r="F659" s="20">
        <v>403</v>
      </c>
      <c r="G659" s="22">
        <v>1</v>
      </c>
      <c r="H659" s="23">
        <v>3.0000000000000001E-138</v>
      </c>
      <c r="I659" s="20">
        <v>81.209999999999994</v>
      </c>
      <c r="J659" s="20"/>
    </row>
    <row r="660" spans="1:10" x14ac:dyDescent="0.2">
      <c r="A660" s="20" t="str">
        <f>HYPERLINK("https://www.ncbi.nlm.nih.gov/protein/XP_034290148.1?report=genbank&amp;log$=prottop&amp;blast_rank=382&amp;RID=DNNRD06A013","XP_034290148.1")</f>
        <v>XP_034290148.1</v>
      </c>
      <c r="B660" s="45">
        <v>224</v>
      </c>
      <c r="C660" s="20" t="s">
        <v>981</v>
      </c>
      <c r="D660" s="21" t="s">
        <v>982</v>
      </c>
      <c r="E660" s="20">
        <v>147</v>
      </c>
      <c r="F660" s="20">
        <v>147</v>
      </c>
      <c r="G660" s="22">
        <v>0.71</v>
      </c>
      <c r="H660" s="23">
        <v>4.9999999999999998E-39</v>
      </c>
      <c r="I660" s="20">
        <v>40.71</v>
      </c>
      <c r="J660" s="20"/>
    </row>
    <row r="661" spans="1:10" x14ac:dyDescent="0.2">
      <c r="A661" s="20" t="str">
        <f>HYPERLINK("https://www.ncbi.nlm.nih.gov/protein/XP_014363818.2?report=genbank&amp;log$=prottop&amp;blast_rank=585&amp;RID=DNNRD06A013","XP_014363818.2")</f>
        <v>XP_014363818.2</v>
      </c>
      <c r="B661" s="45">
        <v>291</v>
      </c>
      <c r="C661" s="20" t="s">
        <v>983</v>
      </c>
      <c r="D661" s="21" t="s">
        <v>984</v>
      </c>
      <c r="E661" s="20">
        <v>82.8</v>
      </c>
      <c r="F661" s="20">
        <v>82.8</v>
      </c>
      <c r="G661" s="22">
        <v>0.52</v>
      </c>
      <c r="H661" s="23">
        <v>2.9999999999999998E-14</v>
      </c>
      <c r="I661" s="20">
        <v>35.119999999999997</v>
      </c>
      <c r="J661" s="20"/>
    </row>
    <row r="662" spans="1:10" x14ac:dyDescent="0.2">
      <c r="A662" s="20" t="str">
        <f>HYPERLINK("https://www.ncbi.nlm.nih.gov/protein/XP_013138234.1?report=genbank&amp;log$=prottop&amp;blast_rank=636&amp;RID=DNNRD06A013","XP_013138234.1")</f>
        <v>XP_013138234.1</v>
      </c>
      <c r="B662" s="45">
        <v>289</v>
      </c>
      <c r="C662" s="20" t="s">
        <v>985</v>
      </c>
      <c r="D662" s="21" t="s">
        <v>986</v>
      </c>
      <c r="E662" s="20">
        <v>77.8</v>
      </c>
      <c r="F662" s="20">
        <v>77.8</v>
      </c>
      <c r="G662" s="22">
        <v>0.52</v>
      </c>
      <c r="H662" s="23">
        <v>9.9999999999999998E-13</v>
      </c>
      <c r="I662" s="20">
        <v>35.5</v>
      </c>
      <c r="J662" s="20"/>
    </row>
    <row r="663" spans="1:10" x14ac:dyDescent="0.2">
      <c r="A663" s="20" t="str">
        <f>HYPERLINK("https://www.ncbi.nlm.nih.gov/protein/XP_013144787.1?report=genbank&amp;log$=prottop&amp;blast_rank=739&amp;RID=DNNRD06A013","XP_013144787.1")</f>
        <v>XP_013144787.1</v>
      </c>
      <c r="B663" s="45">
        <v>328</v>
      </c>
      <c r="C663" s="20" t="s">
        <v>987</v>
      </c>
      <c r="D663" s="21" t="s">
        <v>986</v>
      </c>
      <c r="E663" s="20">
        <v>67.400000000000006</v>
      </c>
      <c r="F663" s="20">
        <v>67.400000000000006</v>
      </c>
      <c r="G663" s="22">
        <v>0.55000000000000004</v>
      </c>
      <c r="H663" s="23">
        <v>8.9999999999999995E-9</v>
      </c>
      <c r="I663" s="20">
        <v>31.64</v>
      </c>
      <c r="J663" s="20"/>
    </row>
    <row r="664" spans="1:10" x14ac:dyDescent="0.2">
      <c r="A664" s="20" t="str">
        <f>HYPERLINK("https://www.ncbi.nlm.nih.gov/protein/XP_013182572.1?report=genbank&amp;log$=prottop&amp;blast_rank=608&amp;RID=DNNRD06A013","XP_013182572.1")</f>
        <v>XP_013182572.1</v>
      </c>
      <c r="B664" s="45">
        <v>290</v>
      </c>
      <c r="C664" s="20" t="s">
        <v>988</v>
      </c>
      <c r="D664" s="21" t="s">
        <v>989</v>
      </c>
      <c r="E664" s="20">
        <v>80.900000000000006</v>
      </c>
      <c r="F664" s="20">
        <v>80.900000000000006</v>
      </c>
      <c r="G664" s="22">
        <v>0.52</v>
      </c>
      <c r="H664" s="23">
        <v>1E-13</v>
      </c>
      <c r="I664" s="20">
        <v>34.32</v>
      </c>
      <c r="J664" s="20"/>
    </row>
    <row r="665" spans="1:10" x14ac:dyDescent="0.2">
      <c r="A665" s="20" t="str">
        <f>HYPERLINK("https://www.ncbi.nlm.nih.gov/protein/XP_013182110.1?report=genbank&amp;log$=prottop&amp;blast_rank=735&amp;RID=DNNRD06A013","XP_013182110.1")</f>
        <v>XP_013182110.1</v>
      </c>
      <c r="B665" s="45">
        <v>334</v>
      </c>
      <c r="C665" s="20" t="s">
        <v>990</v>
      </c>
      <c r="D665" s="21" t="s">
        <v>989</v>
      </c>
      <c r="E665" s="20">
        <v>67.8</v>
      </c>
      <c r="F665" s="20">
        <v>67.8</v>
      </c>
      <c r="G665" s="22">
        <v>0.5</v>
      </c>
      <c r="H665" s="23">
        <v>6E-9</v>
      </c>
      <c r="I665" s="20">
        <v>32.93</v>
      </c>
      <c r="J665" s="20"/>
    </row>
    <row r="666" spans="1:10" x14ac:dyDescent="0.2">
      <c r="A666" s="20" t="str">
        <f>HYPERLINK("https://www.ncbi.nlm.nih.gov/protein/XP_009196747.1?report=genbank&amp;log$=prottop&amp;blast_rank=286&amp;RID=DNNRD06A013","XP_009196747.1")</f>
        <v>XP_009196747.1</v>
      </c>
      <c r="B666" s="45">
        <v>236</v>
      </c>
      <c r="C666" s="20" t="s">
        <v>991</v>
      </c>
      <c r="D666" s="21" t="s">
        <v>992</v>
      </c>
      <c r="E666" s="20">
        <v>152</v>
      </c>
      <c r="F666" s="20">
        <v>152</v>
      </c>
      <c r="G666" s="22">
        <v>0.7</v>
      </c>
      <c r="H666" s="23">
        <v>4.9999999999999996E-41</v>
      </c>
      <c r="I666" s="20">
        <v>46.46</v>
      </c>
      <c r="J666" s="20"/>
    </row>
    <row r="667" spans="1:10" x14ac:dyDescent="0.2">
      <c r="A667" s="20" t="str">
        <f>HYPERLINK("https://www.ncbi.nlm.nih.gov/protein/XP_021790135.2?report=genbank&amp;log$=prottop&amp;blast_rank=21&amp;RID=DNNRD06A013","XP_021790135.2")</f>
        <v>XP_021790135.2</v>
      </c>
      <c r="B667" s="45">
        <v>474</v>
      </c>
      <c r="C667" s="20" t="s">
        <v>993</v>
      </c>
      <c r="D667" s="21" t="s">
        <v>992</v>
      </c>
      <c r="E667" s="20">
        <v>448</v>
      </c>
      <c r="F667" s="20">
        <v>448</v>
      </c>
      <c r="G667" s="22">
        <v>1</v>
      </c>
      <c r="H667" s="23">
        <v>1E-153</v>
      </c>
      <c r="I667" s="20">
        <v>94.9</v>
      </c>
      <c r="J667" s="20"/>
    </row>
    <row r="668" spans="1:10" x14ac:dyDescent="0.2">
      <c r="A668" s="20" t="str">
        <f>HYPERLINK("https://www.ncbi.nlm.nih.gov/protein/XP_039750846.1?report=genbank&amp;log$=prottop&amp;blast_rank=591&amp;RID=DNNRD06A013","XP_039750846.1")</f>
        <v>XP_039750846.1</v>
      </c>
      <c r="B668" s="45">
        <v>275</v>
      </c>
      <c r="C668" s="20" t="s">
        <v>994</v>
      </c>
      <c r="D668" s="21" t="s">
        <v>995</v>
      </c>
      <c r="E668" s="20">
        <v>82</v>
      </c>
      <c r="F668" s="20">
        <v>82</v>
      </c>
      <c r="G668" s="22">
        <v>0.54</v>
      </c>
      <c r="H668" s="23">
        <v>4E-14</v>
      </c>
      <c r="I668" s="20">
        <v>31.4</v>
      </c>
      <c r="J668" s="20"/>
    </row>
    <row r="669" spans="1:10" x14ac:dyDescent="0.2">
      <c r="A669" s="20" t="str">
        <f>HYPERLINK("https://www.ncbi.nlm.nih.gov/protein/XP_039749296.1?report=genbank&amp;log$=prottop&amp;blast_rank=724&amp;RID=DNNRD06A013","XP_039749296.1")</f>
        <v>XP_039749296.1</v>
      </c>
      <c r="B669" s="45">
        <v>303</v>
      </c>
      <c r="C669" s="20" t="s">
        <v>996</v>
      </c>
      <c r="D669" s="21" t="s">
        <v>995</v>
      </c>
      <c r="E669" s="20">
        <v>68.2</v>
      </c>
      <c r="F669" s="20">
        <v>68.2</v>
      </c>
      <c r="G669" s="22">
        <v>0.53</v>
      </c>
      <c r="H669" s="23">
        <v>4.0000000000000002E-9</v>
      </c>
      <c r="I669" s="20">
        <v>29.07</v>
      </c>
      <c r="J669" s="20"/>
    </row>
    <row r="670" spans="1:10" x14ac:dyDescent="0.2">
      <c r="A670" s="20" t="str">
        <f>HYPERLINK("https://www.ncbi.nlm.nih.gov/protein/XP_015904740.1?report=genbank&amp;log$=prottop&amp;blast_rank=487&amp;RID=DNNRD06A013","XP_015904740.1")</f>
        <v>XP_015904740.1</v>
      </c>
      <c r="B670" s="45">
        <v>385</v>
      </c>
      <c r="C670" s="20" t="s">
        <v>997</v>
      </c>
      <c r="D670" s="21" t="s">
        <v>998</v>
      </c>
      <c r="E670" s="20">
        <v>110</v>
      </c>
      <c r="F670" s="20">
        <v>110</v>
      </c>
      <c r="G670" s="22">
        <v>0.71</v>
      </c>
      <c r="H670" s="23">
        <v>9.9999999999999996E-24</v>
      </c>
      <c r="I670" s="20">
        <v>32.35</v>
      </c>
      <c r="J670" s="20"/>
    </row>
    <row r="671" spans="1:10" x14ac:dyDescent="0.2">
      <c r="A671" s="20" t="str">
        <f>HYPERLINK("https://www.ncbi.nlm.nih.gov/protein/XP_015930657.2?report=genbank&amp;log$=prottop&amp;blast_rank=537&amp;RID=DNNRD06A013","XP_015930657.2")</f>
        <v>XP_015930657.2</v>
      </c>
      <c r="B671" s="45">
        <v>429</v>
      </c>
      <c r="C671" s="20" t="s">
        <v>999</v>
      </c>
      <c r="D671" s="21" t="s">
        <v>998</v>
      </c>
      <c r="E671" s="20">
        <v>94.4</v>
      </c>
      <c r="F671" s="20">
        <v>150</v>
      </c>
      <c r="G671" s="22">
        <v>0.67</v>
      </c>
      <c r="H671" s="23">
        <v>8.0000000000000006E-18</v>
      </c>
      <c r="I671" s="20">
        <v>41.4</v>
      </c>
      <c r="J671" s="20"/>
    </row>
    <row r="672" spans="1:10" x14ac:dyDescent="0.2">
      <c r="A672" s="20" t="str">
        <f>HYPERLINK("https://www.ncbi.nlm.nih.gov/protein/XP_015930659.2?report=genbank&amp;log$=prottop&amp;blast_rank=536&amp;RID=DNNRD06A013","XP_015930659.2")</f>
        <v>XP_015930659.2</v>
      </c>
      <c r="B672" s="45">
        <v>420</v>
      </c>
      <c r="C672" s="20" t="s">
        <v>1000</v>
      </c>
      <c r="D672" s="21" t="s">
        <v>998</v>
      </c>
      <c r="E672" s="20">
        <v>94.7</v>
      </c>
      <c r="F672" s="20">
        <v>151</v>
      </c>
      <c r="G672" s="22">
        <v>0.67</v>
      </c>
      <c r="H672" s="23">
        <v>5.9999999999999997E-18</v>
      </c>
      <c r="I672" s="20">
        <v>41.4</v>
      </c>
      <c r="J672" s="20"/>
    </row>
    <row r="673" spans="1:10" x14ac:dyDescent="0.2">
      <c r="A673" s="20" t="str">
        <f>HYPERLINK("https://www.ncbi.nlm.nih.gov/protein/XP_038046422.1?report=genbank&amp;log$=prottop&amp;blast_rank=430&amp;RID=DNNRD06A013","XP_038046422.1")</f>
        <v>XP_038046422.1</v>
      </c>
      <c r="B673" s="45">
        <v>247</v>
      </c>
      <c r="C673" s="20" t="s">
        <v>1001</v>
      </c>
      <c r="D673" s="21" t="s">
        <v>1002</v>
      </c>
      <c r="E673" s="20">
        <v>137</v>
      </c>
      <c r="F673" s="20">
        <v>137</v>
      </c>
      <c r="G673" s="22">
        <v>0.76</v>
      </c>
      <c r="H673" s="23">
        <v>6.9999999999999999E-35</v>
      </c>
      <c r="I673" s="20">
        <v>36.18</v>
      </c>
      <c r="J673" s="20"/>
    </row>
    <row r="674" spans="1:10" x14ac:dyDescent="0.2">
      <c r="A674" s="20" t="str">
        <f>HYPERLINK("https://www.ncbi.nlm.nih.gov/protein/XP_038046421.1?report=genbank&amp;log$=prottop&amp;blast_rank=432&amp;RID=DNNRD06A013","XP_038046421.1")</f>
        <v>XP_038046421.1</v>
      </c>
      <c r="B674" s="45">
        <v>255</v>
      </c>
      <c r="C674" s="20" t="s">
        <v>1001</v>
      </c>
      <c r="D674" s="21" t="s">
        <v>1002</v>
      </c>
      <c r="E674" s="20">
        <v>136</v>
      </c>
      <c r="F674" s="20">
        <v>136</v>
      </c>
      <c r="G674" s="22">
        <v>0.71</v>
      </c>
      <c r="H674" s="23">
        <v>9.9999999999999993E-35</v>
      </c>
      <c r="I674" s="20">
        <v>37.770000000000003</v>
      </c>
      <c r="J674" s="20"/>
    </row>
    <row r="675" spans="1:10" x14ac:dyDescent="0.2">
      <c r="A675" s="20" t="str">
        <f>HYPERLINK("https://www.ncbi.nlm.nih.gov/protein/XP_033732749.1?report=genbank&amp;log$=prottop&amp;blast_rank=879&amp;RID=DNNRD06A013","XP_033732749.1")</f>
        <v>XP_033732749.1</v>
      </c>
      <c r="B675" s="45">
        <v>220</v>
      </c>
      <c r="C675" s="20" t="s">
        <v>1003</v>
      </c>
      <c r="D675" s="21" t="s">
        <v>1004</v>
      </c>
      <c r="E675" s="20">
        <v>51.2</v>
      </c>
      <c r="F675" s="20">
        <v>51.2</v>
      </c>
      <c r="G675" s="22">
        <v>0.35</v>
      </c>
      <c r="H675" s="20">
        <v>1E-3</v>
      </c>
      <c r="I675" s="20">
        <v>30.09</v>
      </c>
      <c r="J675" s="20"/>
    </row>
    <row r="676" spans="1:10" x14ac:dyDescent="0.2">
      <c r="A676" s="20" t="str">
        <f>HYPERLINK("https://www.ncbi.nlm.nih.gov/protein/XP_002432389.1?report=genbank&amp;log$=prottop&amp;blast_rank=575&amp;RID=DNNRD06A013","XP_002432389.1")</f>
        <v>XP_002432389.1</v>
      </c>
      <c r="B676" s="45">
        <v>289</v>
      </c>
      <c r="C676" s="20" t="s">
        <v>1005</v>
      </c>
      <c r="D676" s="21" t="s">
        <v>1006</v>
      </c>
      <c r="E676" s="20">
        <v>84</v>
      </c>
      <c r="F676" s="20">
        <v>84</v>
      </c>
      <c r="G676" s="22">
        <v>0.53</v>
      </c>
      <c r="H676" s="23">
        <v>8.9999999999999995E-15</v>
      </c>
      <c r="I676" s="20">
        <v>33.93</v>
      </c>
      <c r="J676" s="20"/>
    </row>
    <row r="677" spans="1:10" x14ac:dyDescent="0.2">
      <c r="A677" s="20" t="str">
        <f>HYPERLINK("https://www.ncbi.nlm.nih.gov/protein/XP_025044318.1?report=genbank&amp;log$=prottop&amp;blast_rank=455&amp;RID=DNNRD06A013","XP_025044318.1")</f>
        <v>XP_025044318.1</v>
      </c>
      <c r="B677" s="45">
        <v>247</v>
      </c>
      <c r="C677" s="20" t="s">
        <v>1007</v>
      </c>
      <c r="D677" s="21" t="s">
        <v>1008</v>
      </c>
      <c r="E677" s="20">
        <v>123</v>
      </c>
      <c r="F677" s="20">
        <v>123</v>
      </c>
      <c r="G677" s="22">
        <v>0.67</v>
      </c>
      <c r="H677" s="23">
        <v>9.9999999999999994E-30</v>
      </c>
      <c r="I677" s="20">
        <v>39.44</v>
      </c>
      <c r="J677" s="20"/>
    </row>
    <row r="678" spans="1:10" x14ac:dyDescent="0.2">
      <c r="A678" s="20" t="str">
        <f>HYPERLINK("https://www.ncbi.nlm.nih.gov/protein/XP_047500368.1?report=genbank&amp;log$=prottop&amp;blast_rank=671&amp;RID=DNNRD06A013","XP_047500368.1")</f>
        <v>XP_047500368.1</v>
      </c>
      <c r="B678" s="45">
        <v>380</v>
      </c>
      <c r="C678" s="20" t="s">
        <v>1009</v>
      </c>
      <c r="D678" s="21" t="s">
        <v>1010</v>
      </c>
      <c r="E678" s="20">
        <v>75.900000000000006</v>
      </c>
      <c r="F678" s="20">
        <v>75.900000000000006</v>
      </c>
      <c r="G678" s="22">
        <v>0.48</v>
      </c>
      <c r="H678" s="23">
        <v>1.9999999999999999E-11</v>
      </c>
      <c r="I678" s="20">
        <v>34.71</v>
      </c>
      <c r="J678" s="20"/>
    </row>
    <row r="679" spans="1:10" x14ac:dyDescent="0.2">
      <c r="A679" s="20" t="str">
        <f>HYPERLINK("https://www.ncbi.nlm.nih.gov/protein/XP_042862328.1?report=genbank&amp;log$=prottop&amp;blast_rank=690&amp;RID=DNNRD06A013","XP_042862328.1")</f>
        <v>XP_042862328.1</v>
      </c>
      <c r="B679" s="45">
        <v>410</v>
      </c>
      <c r="C679" s="20" t="s">
        <v>1011</v>
      </c>
      <c r="D679" s="21" t="s">
        <v>1012</v>
      </c>
      <c r="E679" s="20">
        <v>73.599999999999994</v>
      </c>
      <c r="F679" s="20">
        <v>125</v>
      </c>
      <c r="G679" s="22">
        <v>0.71</v>
      </c>
      <c r="H679" s="23">
        <v>1E-10</v>
      </c>
      <c r="I679" s="20">
        <v>33.33</v>
      </c>
      <c r="J679" s="20"/>
    </row>
    <row r="680" spans="1:10" x14ac:dyDescent="0.2">
      <c r="A680" s="20" t="str">
        <f>HYPERLINK("https://www.ncbi.nlm.nih.gov/protein/XP_037796114.1?report=genbank&amp;log$=prottop&amp;blast_rank=676&amp;RID=DNNRD06A013","XP_037796114.1")</f>
        <v>XP_037796114.1</v>
      </c>
      <c r="B680" s="45">
        <v>406</v>
      </c>
      <c r="C680" s="20" t="s">
        <v>1013</v>
      </c>
      <c r="D680" s="21" t="s">
        <v>1014</v>
      </c>
      <c r="E680" s="20">
        <v>75.5</v>
      </c>
      <c r="F680" s="20">
        <v>75.5</v>
      </c>
      <c r="G680" s="22">
        <v>0.49</v>
      </c>
      <c r="H680" s="23">
        <v>1.9999999999999999E-11</v>
      </c>
      <c r="I680" s="20">
        <v>34.299999999999997</v>
      </c>
      <c r="J680" s="20"/>
    </row>
    <row r="681" spans="1:10" x14ac:dyDescent="0.2">
      <c r="A681" s="20" t="str">
        <f>HYPERLINK("https://www.ncbi.nlm.nih.gov/protein/XP_027210390.1?report=genbank&amp;log$=prottop&amp;blast_rank=675&amp;RID=DNNRD06A013","XP_027210390.1")</f>
        <v>XP_027210390.1</v>
      </c>
      <c r="B681" s="45">
        <v>404</v>
      </c>
      <c r="C681" s="20" t="s">
        <v>1015</v>
      </c>
      <c r="D681" s="21" t="s">
        <v>1016</v>
      </c>
      <c r="E681" s="20">
        <v>75.5</v>
      </c>
      <c r="F681" s="20">
        <v>125</v>
      </c>
      <c r="G681" s="22">
        <v>0.71</v>
      </c>
      <c r="H681" s="23">
        <v>1.9999999999999999E-11</v>
      </c>
      <c r="I681" s="20">
        <v>33.33</v>
      </c>
      <c r="J681" s="20"/>
    </row>
    <row r="682" spans="1:10" x14ac:dyDescent="0.2">
      <c r="A682" s="20" t="str">
        <f>HYPERLINK("https://www.ncbi.nlm.nih.gov/protein/XP_048192783.1?report=genbank&amp;log$=prottop&amp;blast_rank=359&amp;RID=DNNRD06A013","XP_048192783.1")</f>
        <v>XP_048192783.1</v>
      </c>
      <c r="B682" s="45">
        <v>236</v>
      </c>
      <c r="C682" s="20" t="s">
        <v>1017</v>
      </c>
      <c r="D682" s="21" t="s">
        <v>1018</v>
      </c>
      <c r="E682" s="20">
        <v>149</v>
      </c>
      <c r="F682" s="20">
        <v>149</v>
      </c>
      <c r="G682" s="22">
        <v>0.7</v>
      </c>
      <c r="H682" s="23">
        <v>7.9999999999999994E-40</v>
      </c>
      <c r="I682" s="20">
        <v>47.35</v>
      </c>
      <c r="J682" s="20"/>
    </row>
    <row r="683" spans="1:10" x14ac:dyDescent="0.2">
      <c r="A683" s="20" t="str">
        <f>HYPERLINK("https://www.ncbi.nlm.nih.gov/protein/XP_048190559.1?report=genbank&amp;log$=prottop&amp;blast_rank=165&amp;RID=DNNRD06A013","XP_048190559.1")</f>
        <v>XP_048190559.1</v>
      </c>
      <c r="B683" s="45">
        <v>317</v>
      </c>
      <c r="C683" s="20" t="s">
        <v>1019</v>
      </c>
      <c r="D683" s="21" t="s">
        <v>1018</v>
      </c>
      <c r="E683" s="20">
        <v>342</v>
      </c>
      <c r="F683" s="20">
        <v>342</v>
      </c>
      <c r="G683" s="22">
        <v>0.76</v>
      </c>
      <c r="H683" s="23">
        <v>3.0000000000000002E-114</v>
      </c>
      <c r="I683" s="20">
        <v>79.67</v>
      </c>
      <c r="J683" s="38"/>
    </row>
    <row r="684" spans="1:10" x14ac:dyDescent="0.2">
      <c r="A684" s="20" t="str">
        <f>HYPERLINK("https://www.ncbi.nlm.nih.gov/protein/XP_028744411.1?report=genbank&amp;log$=prottop&amp;blast_rank=413&amp;RID=DNNRD06A013","XP_028744411.1")</f>
        <v>XP_028744411.1</v>
      </c>
      <c r="B684" s="45">
        <v>236</v>
      </c>
      <c r="C684" s="20" t="s">
        <v>1020</v>
      </c>
      <c r="D684" s="21" t="s">
        <v>1021</v>
      </c>
      <c r="E684" s="20">
        <v>143</v>
      </c>
      <c r="F684" s="20">
        <v>143</v>
      </c>
      <c r="G684" s="22">
        <v>0.7</v>
      </c>
      <c r="H684" s="23">
        <v>2.0000000000000001E-37</v>
      </c>
      <c r="I684" s="20">
        <v>43.81</v>
      </c>
      <c r="J684" s="20"/>
    </row>
    <row r="685" spans="1:10" x14ac:dyDescent="0.2">
      <c r="A685" s="20" t="str">
        <f>HYPERLINK("https://www.ncbi.nlm.nih.gov/protein/XP_028742756.1?report=genbank&amp;log$=prottop&amp;blast_rank=134&amp;RID=DNNRD06A013","XP_028742756.1")</f>
        <v>XP_028742756.1</v>
      </c>
      <c r="B685" s="45">
        <v>313</v>
      </c>
      <c r="C685" s="20" t="s">
        <v>1022</v>
      </c>
      <c r="D685" s="21" t="s">
        <v>1021</v>
      </c>
      <c r="E685" s="20">
        <v>363</v>
      </c>
      <c r="F685" s="20">
        <v>363</v>
      </c>
      <c r="G685" s="22">
        <v>1</v>
      </c>
      <c r="H685" s="23">
        <v>2.0000000000000001E-122</v>
      </c>
      <c r="I685" s="20">
        <v>76.19</v>
      </c>
      <c r="J685" s="20"/>
    </row>
    <row r="686" spans="1:10" x14ac:dyDescent="0.2">
      <c r="A686" s="20" t="str">
        <f>HYPERLINK("https://www.ncbi.nlm.nih.gov/protein/XP_042124830.1?report=genbank&amp;log$=prottop&amp;blast_rank=412&amp;RID=DNNRD06A013","XP_042124830.1")</f>
        <v>XP_042124830.1</v>
      </c>
      <c r="B686" s="45">
        <v>236</v>
      </c>
      <c r="C686" s="20" t="s">
        <v>1023</v>
      </c>
      <c r="D686" s="21" t="s">
        <v>1024</v>
      </c>
      <c r="E686" s="20">
        <v>143</v>
      </c>
      <c r="F686" s="20">
        <v>143</v>
      </c>
      <c r="G686" s="22">
        <v>0.7</v>
      </c>
      <c r="H686" s="23">
        <v>1.0000000000000001E-37</v>
      </c>
      <c r="I686" s="20">
        <v>43.81</v>
      </c>
      <c r="J686" s="20"/>
    </row>
    <row r="687" spans="1:10" x14ac:dyDescent="0.2">
      <c r="A687" s="20" t="str">
        <f>HYPERLINK("https://www.ncbi.nlm.nih.gov/protein/XP_006978349.2?report=genbank&amp;log$=prottop&amp;blast_rank=137&amp;RID=DNNRD06A013","XP_006978349.2")</f>
        <v>XP_006978349.2</v>
      </c>
      <c r="B687" s="45">
        <v>313</v>
      </c>
      <c r="C687" s="20" t="s">
        <v>1025</v>
      </c>
      <c r="D687" s="21" t="s">
        <v>1024</v>
      </c>
      <c r="E687" s="20">
        <v>362</v>
      </c>
      <c r="F687" s="20">
        <v>362</v>
      </c>
      <c r="G687" s="22">
        <v>1</v>
      </c>
      <c r="H687" s="23">
        <v>4.0000000000000002E-122</v>
      </c>
      <c r="I687" s="20">
        <v>76.510000000000005</v>
      </c>
      <c r="J687" s="20"/>
    </row>
    <row r="688" spans="1:10" x14ac:dyDescent="0.2">
      <c r="A688" s="20" t="str">
        <f>HYPERLINK("https://www.ncbi.nlm.nih.gov/protein/XP_032827327.1?report=genbank&amp;log$=prottop&amp;blast_rank=463&amp;RID=DNNRD06A013","XP_032827327.1")</f>
        <v>XP_032827327.1</v>
      </c>
      <c r="B688" s="45">
        <v>340</v>
      </c>
      <c r="C688" s="20" t="s">
        <v>1026</v>
      </c>
      <c r="D688" s="21" t="s">
        <v>1027</v>
      </c>
      <c r="E688" s="20">
        <v>121</v>
      </c>
      <c r="F688" s="20">
        <v>121</v>
      </c>
      <c r="G688" s="22">
        <v>0.73</v>
      </c>
      <c r="H688" s="23">
        <v>3.9999999999999999E-28</v>
      </c>
      <c r="I688" s="20">
        <v>35.4</v>
      </c>
      <c r="J688" s="20"/>
    </row>
    <row r="689" spans="1:10" x14ac:dyDescent="0.2">
      <c r="A689" s="20" t="str">
        <f>HYPERLINK("https://www.ncbi.nlm.nih.gov/protein/XP_032827238.1?report=genbank&amp;log$=prottop&amp;blast_rank=431&amp;RID=DNNRD06A013","XP_032827238.1")</f>
        <v>XP_032827238.1</v>
      </c>
      <c r="B689" s="45">
        <v>378</v>
      </c>
      <c r="C689" s="20" t="s">
        <v>1026</v>
      </c>
      <c r="D689" s="21" t="s">
        <v>1027</v>
      </c>
      <c r="E689" s="20">
        <v>140</v>
      </c>
      <c r="F689" s="20">
        <v>140</v>
      </c>
      <c r="G689" s="22">
        <v>0.72</v>
      </c>
      <c r="H689" s="23">
        <v>6.9999999999999999E-35</v>
      </c>
      <c r="I689" s="20">
        <v>37.450000000000003</v>
      </c>
      <c r="J689" s="20"/>
    </row>
    <row r="690" spans="1:10" x14ac:dyDescent="0.2">
      <c r="A690" s="20" t="str">
        <f>HYPERLINK("https://www.ncbi.nlm.nih.gov/protein/XP_047620059.1?report=genbank&amp;log$=prottop&amp;blast_rank=360&amp;RID=DNNRD06A013","XP_047620059.1")</f>
        <v>XP_047620059.1</v>
      </c>
      <c r="B690" s="45">
        <v>236</v>
      </c>
      <c r="C690" s="20" t="s">
        <v>1028</v>
      </c>
      <c r="D690" s="21" t="s">
        <v>1029</v>
      </c>
      <c r="E690" s="20">
        <v>149</v>
      </c>
      <c r="F690" s="20">
        <v>149</v>
      </c>
      <c r="G690" s="22">
        <v>0.7</v>
      </c>
      <c r="H690" s="23">
        <v>7.9999999999999994E-40</v>
      </c>
      <c r="I690" s="20">
        <v>45.13</v>
      </c>
      <c r="J690" s="20"/>
    </row>
    <row r="691" spans="1:10" x14ac:dyDescent="0.2">
      <c r="A691" s="20" t="str">
        <f>HYPERLINK("https://www.ncbi.nlm.nih.gov/protein/XP_047629439.1?report=genbank&amp;log$=prottop&amp;blast_rank=55&amp;RID=DNNRD06A013","XP_047629439.1")</f>
        <v>XP_047629439.1</v>
      </c>
      <c r="B691" s="45">
        <v>314</v>
      </c>
      <c r="C691" s="20" t="s">
        <v>1030</v>
      </c>
      <c r="D691" s="21" t="s">
        <v>1029</v>
      </c>
      <c r="E691" s="20">
        <v>404</v>
      </c>
      <c r="F691" s="20">
        <v>404</v>
      </c>
      <c r="G691" s="22">
        <v>1</v>
      </c>
      <c r="H691" s="23">
        <v>1.0000000000000001E-138</v>
      </c>
      <c r="I691" s="20">
        <v>82.48</v>
      </c>
      <c r="J691" s="20"/>
    </row>
    <row r="692" spans="1:10" x14ac:dyDescent="0.2">
      <c r="A692" s="20" t="str">
        <f>HYPERLINK("https://www.ncbi.nlm.nih.gov/protein/XP_020832898.1?report=genbank&amp;log$=prottop&amp;blast_rank=243&amp;RID=DNNRD06A013","XP_020832898.1")</f>
        <v>XP_020832898.1</v>
      </c>
      <c r="B692" s="45">
        <v>241</v>
      </c>
      <c r="C692" s="20" t="s">
        <v>1031</v>
      </c>
      <c r="D692" s="21" t="s">
        <v>1032</v>
      </c>
      <c r="E692" s="20">
        <v>155</v>
      </c>
      <c r="F692" s="20">
        <v>155</v>
      </c>
      <c r="G692" s="22">
        <v>0.74</v>
      </c>
      <c r="H692" s="23">
        <v>5E-42</v>
      </c>
      <c r="I692" s="20">
        <v>42.44</v>
      </c>
      <c r="J692" s="20"/>
    </row>
    <row r="693" spans="1:10" x14ac:dyDescent="0.2">
      <c r="A693" s="20" t="str">
        <f>HYPERLINK("https://www.ncbi.nlm.nih.gov/protein/XP_020854878.1?report=genbank&amp;log$=prottop&amp;blast_rank=191&amp;RID=DNNRD06A013","XP_020854878.1")</f>
        <v>XP_020854878.1</v>
      </c>
      <c r="B693" s="45">
        <v>325</v>
      </c>
      <c r="C693" s="20" t="s">
        <v>1033</v>
      </c>
      <c r="D693" s="21" t="s">
        <v>1032</v>
      </c>
      <c r="E693" s="20">
        <v>268</v>
      </c>
      <c r="F693" s="20">
        <v>268</v>
      </c>
      <c r="G693" s="22">
        <v>0.74</v>
      </c>
      <c r="H693" s="23">
        <v>3.0000000000000002E-85</v>
      </c>
      <c r="I693" s="20">
        <v>64.41</v>
      </c>
      <c r="J693" s="20"/>
    </row>
    <row r="694" spans="1:10" x14ac:dyDescent="0.2">
      <c r="A694" s="20" t="str">
        <f>HYPERLINK("https://www.ncbi.nlm.nih.gov/protein/XP_032253431.1?report=genbank&amp;log$=prottop&amp;blast_rank=339&amp;RID=DNNRD06A013","XP_032253431.1")</f>
        <v>XP_032253431.1</v>
      </c>
      <c r="B694" s="45">
        <v>269</v>
      </c>
      <c r="C694" s="20" t="s">
        <v>1034</v>
      </c>
      <c r="D694" s="21" t="s">
        <v>1035</v>
      </c>
      <c r="E694" s="20">
        <v>151</v>
      </c>
      <c r="F694" s="20">
        <v>151</v>
      </c>
      <c r="G694" s="22">
        <v>0.7</v>
      </c>
      <c r="H694" s="23">
        <v>3.9999999999999997E-40</v>
      </c>
      <c r="I694" s="20">
        <v>47.35</v>
      </c>
      <c r="J694" s="20"/>
    </row>
    <row r="695" spans="1:10" x14ac:dyDescent="0.2">
      <c r="A695" s="20" t="str">
        <f>HYPERLINK("https://www.ncbi.nlm.nih.gov/protein/XP_032268563.1?report=genbank&amp;log$=prottop&amp;blast_rank=53&amp;RID=DNNRD06A013","XP_032268563.1")</f>
        <v>XP_032268563.1</v>
      </c>
      <c r="B695" s="45">
        <v>314</v>
      </c>
      <c r="C695" s="20" t="s">
        <v>1036</v>
      </c>
      <c r="D695" s="21" t="s">
        <v>1035</v>
      </c>
      <c r="E695" s="20">
        <v>404</v>
      </c>
      <c r="F695" s="20">
        <v>404</v>
      </c>
      <c r="G695" s="22">
        <v>1</v>
      </c>
      <c r="H695" s="23">
        <v>8.0000000000000002E-139</v>
      </c>
      <c r="I695" s="20">
        <v>81.53</v>
      </c>
      <c r="J695" s="20"/>
    </row>
    <row r="696" spans="1:10" x14ac:dyDescent="0.2">
      <c r="A696" s="20" t="str">
        <f>HYPERLINK("https://www.ncbi.nlm.nih.gov/protein/XP_032476855.1?report=genbank&amp;log$=prottop&amp;blast_rank=481&amp;RID=DNNRD06A013","XP_032476855.1")</f>
        <v>XP_032476855.1</v>
      </c>
      <c r="B696" s="45">
        <v>218</v>
      </c>
      <c r="C696" s="20" t="s">
        <v>1037</v>
      </c>
      <c r="D696" s="21" t="s">
        <v>1038</v>
      </c>
      <c r="E696" s="20">
        <v>108</v>
      </c>
      <c r="F696" s="20">
        <v>108</v>
      </c>
      <c r="G696" s="22">
        <v>0.7</v>
      </c>
      <c r="H696" s="23">
        <v>9.9999999999999992E-25</v>
      </c>
      <c r="I696" s="20">
        <v>38.5</v>
      </c>
      <c r="J696" s="20"/>
    </row>
    <row r="697" spans="1:10" x14ac:dyDescent="0.2">
      <c r="A697" s="20" t="str">
        <f>HYPERLINK("https://www.ncbi.nlm.nih.gov/protein/XP_031346888.1?report=genbank&amp;log$=prottop&amp;blast_rank=560&amp;RID=DNNRD06A013","XP_031346888.1")</f>
        <v>XP_031346888.1</v>
      </c>
      <c r="B697" s="45">
        <v>309</v>
      </c>
      <c r="C697" s="20" t="s">
        <v>1039</v>
      </c>
      <c r="D697" s="21" t="s">
        <v>1040</v>
      </c>
      <c r="E697" s="20">
        <v>86.7</v>
      </c>
      <c r="F697" s="20">
        <v>86.7</v>
      </c>
      <c r="G697" s="22">
        <v>0.49</v>
      </c>
      <c r="H697" s="23">
        <v>2.0000000000000002E-15</v>
      </c>
      <c r="I697" s="20">
        <v>35.85</v>
      </c>
      <c r="J697" s="20"/>
    </row>
    <row r="698" spans="1:10" x14ac:dyDescent="0.2">
      <c r="A698" s="20" t="str">
        <f>HYPERLINK("https://www.ncbi.nlm.nih.gov/protein/XP_028377983.1?report=genbank&amp;log$=prottop&amp;blast_rank=336&amp;RID=DNNRD06A013","XP_028377983.1")</f>
        <v>XP_028377983.1</v>
      </c>
      <c r="B698" s="45">
        <v>236</v>
      </c>
      <c r="C698" s="20" t="s">
        <v>1041</v>
      </c>
      <c r="D698" s="21" t="s">
        <v>1042</v>
      </c>
      <c r="E698" s="20">
        <v>150</v>
      </c>
      <c r="F698" s="20">
        <v>150</v>
      </c>
      <c r="G698" s="22">
        <v>0.7</v>
      </c>
      <c r="H698" s="23">
        <v>3.9999999999999997E-40</v>
      </c>
      <c r="I698" s="20">
        <v>45.29</v>
      </c>
      <c r="J698" s="20"/>
    </row>
    <row r="699" spans="1:10" x14ac:dyDescent="0.2">
      <c r="A699" s="20" t="str">
        <f>HYPERLINK("https://www.ncbi.nlm.nih.gov/protein/XP_028374337.1?report=genbank&amp;log$=prottop&amp;blast_rank=122&amp;RID=DNNRD06A013","XP_028374337.1")</f>
        <v>XP_028374337.1</v>
      </c>
      <c r="B699" s="45">
        <v>314</v>
      </c>
      <c r="C699" s="20" t="s">
        <v>1043</v>
      </c>
      <c r="D699" s="21" t="s">
        <v>1042</v>
      </c>
      <c r="E699" s="20">
        <v>372</v>
      </c>
      <c r="F699" s="20">
        <v>372</v>
      </c>
      <c r="G699" s="22">
        <v>1</v>
      </c>
      <c r="H699" s="23">
        <v>6.0000000000000003E-126</v>
      </c>
      <c r="I699" s="20">
        <v>79.94</v>
      </c>
      <c r="J699" s="20"/>
    </row>
    <row r="700" spans="1:10" x14ac:dyDescent="0.2">
      <c r="A700" s="20" t="str">
        <f>HYPERLINK("https://www.ncbi.nlm.nih.gov/protein/XP_045712843.1?report=genbank&amp;log$=prottop&amp;blast_rank=197&amp;RID=DNNRD06A013","XP_045712843.1")</f>
        <v>XP_045712843.1</v>
      </c>
      <c r="B700" s="45">
        <v>1039</v>
      </c>
      <c r="C700" s="20" t="s">
        <v>1044</v>
      </c>
      <c r="D700" s="21" t="s">
        <v>1045</v>
      </c>
      <c r="E700" s="20">
        <v>233</v>
      </c>
      <c r="F700" s="20">
        <v>233</v>
      </c>
      <c r="G700" s="22">
        <v>0.63</v>
      </c>
      <c r="H700" s="23">
        <v>6.0000000000000004E-66</v>
      </c>
      <c r="I700" s="20">
        <v>75.5</v>
      </c>
      <c r="J700" s="20"/>
    </row>
    <row r="701" spans="1:10" x14ac:dyDescent="0.2">
      <c r="A701" s="20" t="str">
        <f>HYPERLINK("https://www.ncbi.nlm.nih.gov/protein/XP_045701411.1?report=genbank&amp;log$=prottop&amp;blast_rank=386&amp;RID=DNNRD06A013","XP_045701411.1")</f>
        <v>XP_045701411.1</v>
      </c>
      <c r="B701" s="45">
        <v>236</v>
      </c>
      <c r="C701" s="20" t="s">
        <v>1046</v>
      </c>
      <c r="D701" s="21" t="s">
        <v>1045</v>
      </c>
      <c r="E701" s="20">
        <v>147</v>
      </c>
      <c r="F701" s="20">
        <v>147</v>
      </c>
      <c r="G701" s="22">
        <v>0.7</v>
      </c>
      <c r="H701" s="23">
        <v>7E-39</v>
      </c>
      <c r="I701" s="20">
        <v>44.84</v>
      </c>
      <c r="J701" s="20"/>
    </row>
    <row r="702" spans="1:10" x14ac:dyDescent="0.2">
      <c r="A702" s="20" t="str">
        <f>HYPERLINK("https://www.ncbi.nlm.nih.gov/protein/XP_028337974.1?report=genbank&amp;log$=prottop&amp;blast_rank=572&amp;RID=DNNRD06A013","XP_028337974.1")</f>
        <v>XP_028337974.1</v>
      </c>
      <c r="B702" s="45">
        <v>249</v>
      </c>
      <c r="C702" s="20" t="s">
        <v>1047</v>
      </c>
      <c r="D702" s="21" t="s">
        <v>1048</v>
      </c>
      <c r="E702" s="20">
        <v>83.6</v>
      </c>
      <c r="F702" s="20">
        <v>83.6</v>
      </c>
      <c r="G702" s="22">
        <v>0.56000000000000005</v>
      </c>
      <c r="H702" s="23">
        <v>7.0000000000000001E-15</v>
      </c>
      <c r="I702" s="20">
        <v>39.44</v>
      </c>
      <c r="J702" s="20"/>
    </row>
    <row r="703" spans="1:10" x14ac:dyDescent="0.2">
      <c r="A703" s="20" t="str">
        <f>HYPERLINK("https://www.ncbi.nlm.nih.gov/protein/XP_028341225.1?report=genbank&amp;log$=prottop&amp;blast_rank=167&amp;RID=DNNRD06A013","XP_028341225.1")</f>
        <v>XP_028341225.1</v>
      </c>
      <c r="B703" s="45">
        <v>267</v>
      </c>
      <c r="C703" s="20" t="s">
        <v>1049</v>
      </c>
      <c r="D703" s="21" t="s">
        <v>1048</v>
      </c>
      <c r="E703" s="20">
        <v>339</v>
      </c>
      <c r="F703" s="20">
        <v>339</v>
      </c>
      <c r="G703" s="22">
        <v>0.67</v>
      </c>
      <c r="H703" s="23">
        <v>8.0000000000000004E-114</v>
      </c>
      <c r="I703" s="20">
        <v>90.61</v>
      </c>
      <c r="J703" s="20"/>
    </row>
    <row r="704" spans="1:10" x14ac:dyDescent="0.2">
      <c r="A704" s="20" t="str">
        <f>HYPERLINK("https://www.ncbi.nlm.nih.gov/protein/XP_045525113.1?report=genbank&amp;log$=prottop&amp;blast_rank=655&amp;RID=DNNRD06A013","XP_045525113.1")</f>
        <v>XP_045525113.1</v>
      </c>
      <c r="B704" s="45">
        <v>283</v>
      </c>
      <c r="C704" s="20" t="s">
        <v>1050</v>
      </c>
      <c r="D704" s="21" t="s">
        <v>1051</v>
      </c>
      <c r="E704" s="20">
        <v>76.3</v>
      </c>
      <c r="F704" s="20">
        <v>76.3</v>
      </c>
      <c r="G704" s="22">
        <v>0.55000000000000004</v>
      </c>
      <c r="H704" s="23">
        <v>4.9999999999999997E-12</v>
      </c>
      <c r="I704" s="20">
        <v>32.61</v>
      </c>
      <c r="J704" s="20"/>
    </row>
    <row r="705" spans="1:10" x14ac:dyDescent="0.2">
      <c r="A705" s="20" t="str">
        <f>HYPERLINK("https://www.ncbi.nlm.nih.gov/protein/XP_045524937.1?report=genbank&amp;log$=prottop&amp;blast_rank=762&amp;RID=DNNRD06A013","XP_045524937.1")</f>
        <v>XP_045524937.1</v>
      </c>
      <c r="B705" s="45">
        <v>394</v>
      </c>
      <c r="C705" s="20" t="s">
        <v>1052</v>
      </c>
      <c r="D705" s="21" t="s">
        <v>1051</v>
      </c>
      <c r="E705" s="20">
        <v>63.9</v>
      </c>
      <c r="F705" s="20">
        <v>63.9</v>
      </c>
      <c r="G705" s="22">
        <v>0.55000000000000004</v>
      </c>
      <c r="H705" s="23">
        <v>9.9999999999999995E-8</v>
      </c>
      <c r="I705" s="20">
        <v>32.200000000000003</v>
      </c>
      <c r="J705" s="20"/>
    </row>
    <row r="706" spans="1:10" x14ac:dyDescent="0.2">
      <c r="A706" s="20" t="str">
        <f>HYPERLINK("https://www.ncbi.nlm.nih.gov/protein/XP_047520105.1?report=genbank&amp;log$=prottop&amp;blast_rank=778&amp;RID=DNNRD06A013","XP_047520105.1")</f>
        <v>XP_047520105.1</v>
      </c>
      <c r="B706" s="45">
        <v>293</v>
      </c>
      <c r="C706" s="20" t="s">
        <v>1053</v>
      </c>
      <c r="D706" s="21" t="s">
        <v>1054</v>
      </c>
      <c r="E706" s="20">
        <v>60.8</v>
      </c>
      <c r="F706" s="20">
        <v>60.8</v>
      </c>
      <c r="G706" s="22">
        <v>0.45</v>
      </c>
      <c r="H706" s="23">
        <v>8.9999999999999996E-7</v>
      </c>
      <c r="I706" s="20">
        <v>33.79</v>
      </c>
      <c r="J706" s="20"/>
    </row>
    <row r="707" spans="1:10" x14ac:dyDescent="0.2">
      <c r="A707" s="20" t="str">
        <f>HYPERLINK("https://www.ncbi.nlm.nih.gov/protein/XP_047520475.1?report=genbank&amp;log$=prottop&amp;blast_rank=653&amp;RID=DNNRD06A013","XP_047520475.1")</f>
        <v>XP_047520475.1</v>
      </c>
      <c r="B707" s="45">
        <v>282</v>
      </c>
      <c r="C707" s="20" t="s">
        <v>1055</v>
      </c>
      <c r="D707" s="21" t="s">
        <v>1054</v>
      </c>
      <c r="E707" s="20">
        <v>76.3</v>
      </c>
      <c r="F707" s="20">
        <v>76.3</v>
      </c>
      <c r="G707" s="22">
        <v>0.49</v>
      </c>
      <c r="H707" s="23">
        <v>3.9999999999999999E-12</v>
      </c>
      <c r="I707" s="20">
        <v>35.4</v>
      </c>
      <c r="J707" s="20"/>
    </row>
    <row r="708" spans="1:10" x14ac:dyDescent="0.2">
      <c r="A708" s="20" t="str">
        <f>HYPERLINK("https://www.ncbi.nlm.nih.gov/protein/XP_022116301.1?report=genbank&amp;log$=prottop&amp;blast_rank=611&amp;RID=DNNRD06A013","XP_022116301.1")</f>
        <v>XP_022116301.1</v>
      </c>
      <c r="B708" s="45">
        <v>282</v>
      </c>
      <c r="C708" s="20" t="s">
        <v>1056</v>
      </c>
      <c r="D708" s="21" t="s">
        <v>1057</v>
      </c>
      <c r="E708" s="20">
        <v>80.099999999999994</v>
      </c>
      <c r="F708" s="20">
        <v>80.099999999999994</v>
      </c>
      <c r="G708" s="22">
        <v>0.49</v>
      </c>
      <c r="H708" s="23">
        <v>2.0000000000000001E-13</v>
      </c>
      <c r="I708" s="20">
        <v>34.590000000000003</v>
      </c>
      <c r="J708" s="20"/>
    </row>
    <row r="709" spans="1:10" x14ac:dyDescent="0.2">
      <c r="A709" s="20" t="str">
        <f>HYPERLINK("https://www.ncbi.nlm.nih.gov/protein/XP_022116321.1?report=genbank&amp;log$=prottop&amp;blast_rank=747&amp;RID=DNNRD06A013","XP_022116321.1")</f>
        <v>XP_022116321.1</v>
      </c>
      <c r="B709" s="45">
        <v>297</v>
      </c>
      <c r="C709" s="20" t="s">
        <v>1058</v>
      </c>
      <c r="D709" s="21" t="s">
        <v>1057</v>
      </c>
      <c r="E709" s="20">
        <v>66.2</v>
      </c>
      <c r="F709" s="20">
        <v>114</v>
      </c>
      <c r="G709" s="22">
        <v>0.69</v>
      </c>
      <c r="H709" s="23">
        <v>2E-8</v>
      </c>
      <c r="I709" s="20">
        <v>35.86</v>
      </c>
      <c r="J709" s="20"/>
    </row>
    <row r="710" spans="1:10" x14ac:dyDescent="0.2">
      <c r="A710" s="20" t="str">
        <f>HYPERLINK("https://www.ncbi.nlm.nih.gov/protein/XP_023057869.1?report=genbank&amp;log$=prottop&amp;blast_rank=265&amp;RID=DNNRD06A013","XP_023057869.1")</f>
        <v>XP_023057869.1</v>
      </c>
      <c r="B710" s="45">
        <v>236</v>
      </c>
      <c r="C710" s="20" t="s">
        <v>1059</v>
      </c>
      <c r="D710" s="21" t="s">
        <v>1060</v>
      </c>
      <c r="E710" s="20">
        <v>153</v>
      </c>
      <c r="F710" s="20">
        <v>153</v>
      </c>
      <c r="G710" s="22">
        <v>0.7</v>
      </c>
      <c r="H710" s="23">
        <v>2E-41</v>
      </c>
      <c r="I710" s="20">
        <v>46.46</v>
      </c>
      <c r="J710" s="20"/>
    </row>
    <row r="711" spans="1:10" x14ac:dyDescent="0.2">
      <c r="A711" s="20" t="str">
        <f>HYPERLINK("https://www.ncbi.nlm.nih.gov/protein/XP_023087195.1?report=genbank&amp;log$=prottop&amp;blast_rank=11&amp;RID=DNNRD06A013","XP_023087195.1")</f>
        <v>XP_023087195.1</v>
      </c>
      <c r="B711" s="45">
        <v>314</v>
      </c>
      <c r="C711" s="20" t="s">
        <v>1061</v>
      </c>
      <c r="D711" s="21" t="s">
        <v>1060</v>
      </c>
      <c r="E711" s="20">
        <v>455</v>
      </c>
      <c r="F711" s="20">
        <v>455</v>
      </c>
      <c r="G711" s="22">
        <v>1</v>
      </c>
      <c r="H711" s="23">
        <v>8.9999999999999998E-159</v>
      </c>
      <c r="I711" s="20">
        <v>96.18</v>
      </c>
      <c r="J711" s="20"/>
    </row>
    <row r="712" spans="1:10" x14ac:dyDescent="0.2">
      <c r="A712" s="20" t="str">
        <f>HYPERLINK("https://www.ncbi.nlm.nih.gov/protein/XP_036285871.1?report=genbank&amp;log$=prottop&amp;blast_rank=259&amp;RID=DNNRD06A013","XP_036285871.1")</f>
        <v>XP_036285871.1</v>
      </c>
      <c r="B712" s="45">
        <v>236</v>
      </c>
      <c r="C712" s="20" t="s">
        <v>1062</v>
      </c>
      <c r="D712" s="21" t="s">
        <v>1063</v>
      </c>
      <c r="E712" s="20">
        <v>154</v>
      </c>
      <c r="F712" s="20">
        <v>154</v>
      </c>
      <c r="G712" s="22">
        <v>0.7</v>
      </c>
      <c r="H712" s="23">
        <v>2E-41</v>
      </c>
      <c r="I712" s="20">
        <v>46.46</v>
      </c>
      <c r="J712" s="20"/>
    </row>
    <row r="713" spans="1:10" x14ac:dyDescent="0.2">
      <c r="A713" s="20" t="str">
        <f>HYPERLINK("https://www.ncbi.nlm.nih.gov/protein/XP_036288246.1?report=genbank&amp;log$=prottop&amp;blast_rank=180&amp;RID=DNNRD06A013","XP_036288246.1")</f>
        <v>XP_036288246.1</v>
      </c>
      <c r="B713" s="45">
        <v>302</v>
      </c>
      <c r="C713" s="20" t="s">
        <v>1064</v>
      </c>
      <c r="D713" s="21" t="s">
        <v>1063</v>
      </c>
      <c r="E713" s="20">
        <v>306</v>
      </c>
      <c r="F713" s="20">
        <v>306</v>
      </c>
      <c r="G713" s="22">
        <v>0.99</v>
      </c>
      <c r="H713" s="23">
        <v>2E-100</v>
      </c>
      <c r="I713" s="20">
        <v>72.2</v>
      </c>
      <c r="J713" s="20"/>
    </row>
    <row r="714" spans="1:10" x14ac:dyDescent="0.2">
      <c r="A714" s="20" t="str">
        <f>HYPERLINK("https://www.ncbi.nlm.nih.gov/protein/XP_011560520.3?report=genbank&amp;log$=prottop&amp;blast_rank=819&amp;RID=DNNRD06A013","XP_011560520.3")</f>
        <v>XP_011560520.3</v>
      </c>
      <c r="B714" s="45">
        <v>306</v>
      </c>
      <c r="C714" s="20" t="s">
        <v>1065</v>
      </c>
      <c r="D714" s="21" t="s">
        <v>1066</v>
      </c>
      <c r="E714" s="20">
        <v>58.5</v>
      </c>
      <c r="F714" s="20">
        <v>58.5</v>
      </c>
      <c r="G714" s="22">
        <v>0.5</v>
      </c>
      <c r="H714" s="23">
        <v>6.9999999999999999E-6</v>
      </c>
      <c r="I714" s="20">
        <v>30.62</v>
      </c>
      <c r="J714" s="20"/>
    </row>
    <row r="715" spans="1:10" x14ac:dyDescent="0.2">
      <c r="A715" s="20" t="str">
        <f>HYPERLINK("https://www.ncbi.nlm.nih.gov/protein/XP_037965427.2?report=genbank&amp;log$=prottop&amp;blast_rank=720&amp;RID=DNNRD06A013","XP_037965427.2")</f>
        <v>XP_037965427.2</v>
      </c>
      <c r="B715" s="45">
        <v>333</v>
      </c>
      <c r="C715" s="20" t="s">
        <v>1067</v>
      </c>
      <c r="D715" s="21" t="s">
        <v>1066</v>
      </c>
      <c r="E715" s="20">
        <v>68.900000000000006</v>
      </c>
      <c r="F715" s="20">
        <v>116</v>
      </c>
      <c r="G715" s="22">
        <v>0.67</v>
      </c>
      <c r="H715" s="23">
        <v>2.0000000000000001E-9</v>
      </c>
      <c r="I715" s="20">
        <v>32.03</v>
      </c>
      <c r="J715" s="20"/>
    </row>
    <row r="716" spans="1:10" x14ac:dyDescent="0.2">
      <c r="A716" s="20" t="str">
        <f>HYPERLINK("https://www.ncbi.nlm.nih.gov/protein/XP_027058412.1?report=genbank&amp;log$=prottop&amp;blast_rank=553&amp;RID=DNNRD06A013","XP_027058412.1")</f>
        <v>XP_027058412.1</v>
      </c>
      <c r="B716" s="45">
        <v>291</v>
      </c>
      <c r="C716" s="20" t="s">
        <v>1068</v>
      </c>
      <c r="D716" s="21" t="s">
        <v>1069</v>
      </c>
      <c r="E716" s="20">
        <v>87.8</v>
      </c>
      <c r="F716" s="20">
        <v>87.8</v>
      </c>
      <c r="G716" s="22">
        <v>0.67</v>
      </c>
      <c r="H716" s="23">
        <v>5.0000000000000004E-16</v>
      </c>
      <c r="I716" s="20">
        <v>32.159999999999997</v>
      </c>
      <c r="J716" s="20"/>
    </row>
    <row r="717" spans="1:10" x14ac:dyDescent="0.2">
      <c r="A717" s="20" t="str">
        <f>HYPERLINK("https://www.ncbi.nlm.nih.gov/protein/XP_028567900.1?report=genbank&amp;log$=prottop&amp;blast_rank=416&amp;RID=DNNRD06A013","XP_028567900.1")</f>
        <v>XP_028567900.1</v>
      </c>
      <c r="B717" s="45">
        <v>320</v>
      </c>
      <c r="C717" s="20" t="s">
        <v>1070</v>
      </c>
      <c r="D717" s="21" t="s">
        <v>1071</v>
      </c>
      <c r="E717" s="20">
        <v>145</v>
      </c>
      <c r="F717" s="20">
        <v>145</v>
      </c>
      <c r="G717" s="22">
        <v>0.71</v>
      </c>
      <c r="H717" s="23">
        <v>3E-37</v>
      </c>
      <c r="I717" s="20">
        <v>41.7</v>
      </c>
      <c r="J717" s="20"/>
    </row>
    <row r="718" spans="1:10" x14ac:dyDescent="0.2">
      <c r="A718" s="20" t="str">
        <f>HYPERLINK("https://www.ncbi.nlm.nih.gov/protein/XP_028567901.1?report=genbank&amp;log$=prottop&amp;blast_rank=419&amp;RID=DNNRD06A013","XP_028567901.1")</f>
        <v>XP_028567901.1</v>
      </c>
      <c r="B718" s="45">
        <v>290</v>
      </c>
      <c r="C718" s="20" t="s">
        <v>1072</v>
      </c>
      <c r="D718" s="21" t="s">
        <v>1071</v>
      </c>
      <c r="E718" s="20">
        <v>143</v>
      </c>
      <c r="F718" s="20">
        <v>143</v>
      </c>
      <c r="G718" s="22">
        <v>0.71</v>
      </c>
      <c r="H718" s="23">
        <v>6E-37</v>
      </c>
      <c r="I718" s="20">
        <v>41.7</v>
      </c>
      <c r="J718" s="20"/>
    </row>
    <row r="719" spans="1:10" x14ac:dyDescent="0.2">
      <c r="A719" s="20" t="str">
        <f>HYPERLINK("https://www.ncbi.nlm.nih.gov/protein/XP_028574669.1?report=genbank&amp;log$=prottop&amp;blast_rank=200&amp;RID=DNNRD06A013","XP_028574669.1")</f>
        <v>XP_028574669.1</v>
      </c>
      <c r="B719" s="45">
        <v>335</v>
      </c>
      <c r="C719" s="20" t="s">
        <v>1073</v>
      </c>
      <c r="D719" s="21" t="s">
        <v>1071</v>
      </c>
      <c r="E719" s="20">
        <v>195</v>
      </c>
      <c r="F719" s="20">
        <v>195</v>
      </c>
      <c r="G719" s="22">
        <v>0.72</v>
      </c>
      <c r="H719" s="23">
        <v>2.0000000000000001E-56</v>
      </c>
      <c r="I719" s="20">
        <v>49.36</v>
      </c>
      <c r="J719" s="20"/>
    </row>
    <row r="720" spans="1:10" x14ac:dyDescent="0.2">
      <c r="A720" s="20" t="str">
        <f>HYPERLINK("https://www.ncbi.nlm.nih.gov/protein/XP_020648734.1?report=genbank&amp;log$=prottop&amp;blast_rank=253&amp;RID=DNNRD06A013","XP_020648734.1")</f>
        <v>XP_020648734.1</v>
      </c>
      <c r="B720" s="45">
        <v>225</v>
      </c>
      <c r="C720" s="20" t="s">
        <v>1074</v>
      </c>
      <c r="D720" s="21" t="s">
        <v>1075</v>
      </c>
      <c r="E720" s="20">
        <v>154</v>
      </c>
      <c r="F720" s="20">
        <v>154</v>
      </c>
      <c r="G720" s="22">
        <v>0.72</v>
      </c>
      <c r="H720" s="23">
        <v>1E-41</v>
      </c>
      <c r="I720" s="20">
        <v>42.79</v>
      </c>
      <c r="J720" s="20"/>
    </row>
    <row r="721" spans="1:10" x14ac:dyDescent="0.2">
      <c r="A721" s="20" t="str">
        <f>HYPERLINK("https://www.ncbi.nlm.nih.gov/protein/XP_020652364.1?report=genbank&amp;log$=prottop&amp;blast_rank=207&amp;RID=DNNRD06A013","XP_020652364.1")</f>
        <v>XP_020652364.1</v>
      </c>
      <c r="B721" s="45">
        <v>403</v>
      </c>
      <c r="C721" s="20" t="s">
        <v>1076</v>
      </c>
      <c r="D721" s="21" t="s">
        <v>1075</v>
      </c>
      <c r="E721" s="20">
        <v>188</v>
      </c>
      <c r="F721" s="20">
        <v>188</v>
      </c>
      <c r="G721" s="22">
        <v>0.72</v>
      </c>
      <c r="H721" s="23">
        <v>4.0000000000000001E-53</v>
      </c>
      <c r="I721" s="20">
        <v>46.81</v>
      </c>
      <c r="J721" s="20"/>
    </row>
    <row r="722" spans="1:10" x14ac:dyDescent="0.2">
      <c r="A722" s="20" t="str">
        <f>HYPERLINK("https://www.ncbi.nlm.nih.gov/protein/XP_020652365.1?report=genbank&amp;log$=prottop&amp;blast_rank=378&amp;RID=DNNRD06A013","XP_020652365.1")</f>
        <v>XP_020652365.1</v>
      </c>
      <c r="B722" s="45">
        <v>367</v>
      </c>
      <c r="C722" s="20" t="s">
        <v>1077</v>
      </c>
      <c r="D722" s="21" t="s">
        <v>1075</v>
      </c>
      <c r="E722" s="20">
        <v>151</v>
      </c>
      <c r="F722" s="20">
        <v>151</v>
      </c>
      <c r="G722" s="22">
        <v>0.72</v>
      </c>
      <c r="H722" s="23">
        <v>3.0000000000000003E-39</v>
      </c>
      <c r="I722" s="20">
        <v>40</v>
      </c>
      <c r="J722" s="20"/>
    </row>
    <row r="723" spans="1:10" x14ac:dyDescent="0.2">
      <c r="A723" s="20" t="str">
        <f>HYPERLINK("https://www.ncbi.nlm.nih.gov/protein/XP_020652366.1?report=genbank&amp;log$=prottop&amp;blast_rank=205&amp;RID=DNNRD06A013","XP_020652366.1")</f>
        <v>XP_020652366.1</v>
      </c>
      <c r="B723" s="45">
        <v>320</v>
      </c>
      <c r="C723" s="20" t="s">
        <v>1078</v>
      </c>
      <c r="D723" s="21" t="s">
        <v>1075</v>
      </c>
      <c r="E723" s="20">
        <v>189</v>
      </c>
      <c r="F723" s="20">
        <v>189</v>
      </c>
      <c r="G723" s="22">
        <v>0.75</v>
      </c>
      <c r="H723" s="23">
        <v>4.0000000000000001E-54</v>
      </c>
      <c r="I723" s="20">
        <v>44.72</v>
      </c>
      <c r="J723" s="20"/>
    </row>
    <row r="724" spans="1:10" x14ac:dyDescent="0.2">
      <c r="A724" s="20" t="str">
        <f>HYPERLINK("https://www.ncbi.nlm.nih.gov/protein/XP_014601303.1?report=genbank&amp;log$=prottop&amp;blast_rank=761&amp;RID=DNNRD06A013","XP_014601303.1")</f>
        <v>XP_014601303.1</v>
      </c>
      <c r="B724" s="45">
        <v>230</v>
      </c>
      <c r="C724" s="20" t="s">
        <v>1079</v>
      </c>
      <c r="D724" s="21" t="s">
        <v>1080</v>
      </c>
      <c r="E724" s="20">
        <v>62.8</v>
      </c>
      <c r="F724" s="20">
        <v>62.8</v>
      </c>
      <c r="G724" s="22">
        <v>0.7</v>
      </c>
      <c r="H724" s="23">
        <v>9.9999999999999995E-8</v>
      </c>
      <c r="I724" s="20">
        <v>26.14</v>
      </c>
      <c r="J724" s="20"/>
    </row>
    <row r="725" spans="1:10" x14ac:dyDescent="0.2">
      <c r="A725" s="20" t="str">
        <f>HYPERLINK("https://www.ncbi.nlm.nih.gov/protein/XP_014601304.1?report=genbank&amp;log$=prottop&amp;blast_rank=890&amp;RID=DNNRD06A013","XP_014601304.1")</f>
        <v>XP_014601304.1</v>
      </c>
      <c r="B725" s="45">
        <v>208</v>
      </c>
      <c r="C725" s="20" t="s">
        <v>1081</v>
      </c>
      <c r="D725" s="21" t="s">
        <v>1080</v>
      </c>
      <c r="E725" s="20">
        <v>48.9</v>
      </c>
      <c r="F725" s="20">
        <v>48.9</v>
      </c>
      <c r="G725" s="22">
        <v>0.36</v>
      </c>
      <c r="H725" s="20">
        <v>5.0000000000000001E-3</v>
      </c>
      <c r="I725" s="20">
        <v>22.9</v>
      </c>
      <c r="J725" s="20"/>
    </row>
    <row r="726" spans="1:10" x14ac:dyDescent="0.2">
      <c r="A726" s="20" t="str">
        <f>HYPERLINK("https://www.ncbi.nlm.nih.gov/protein/XP_015183516.1?report=genbank&amp;log$=prottop&amp;blast_rank=688&amp;RID=DNNRD06A013","XP_015183516.1")</f>
        <v>XP_015183516.1</v>
      </c>
      <c r="B726" s="45">
        <v>230</v>
      </c>
      <c r="C726" s="20" t="s">
        <v>1082</v>
      </c>
      <c r="D726" s="21" t="s">
        <v>1083</v>
      </c>
      <c r="E726" s="20">
        <v>72.400000000000006</v>
      </c>
      <c r="F726" s="20">
        <v>72.400000000000006</v>
      </c>
      <c r="G726" s="22">
        <v>0.7</v>
      </c>
      <c r="H726" s="23">
        <v>5.0000000000000002E-11</v>
      </c>
      <c r="I726" s="20">
        <v>27.31</v>
      </c>
      <c r="J726" s="20"/>
    </row>
    <row r="727" spans="1:10" x14ac:dyDescent="0.2">
      <c r="A727" s="20" t="str">
        <f>HYPERLINK("https://www.ncbi.nlm.nih.gov/protein/XP_043503421.1?report=genbank&amp;log$=prottop&amp;blast_rank=732&amp;RID=DNNRD06A013","XP_043503421.1")</f>
        <v>XP_043503421.1</v>
      </c>
      <c r="B727" s="45">
        <v>229</v>
      </c>
      <c r="C727" s="20" t="s">
        <v>1084</v>
      </c>
      <c r="D727" s="21" t="s">
        <v>1085</v>
      </c>
      <c r="E727" s="20">
        <v>66.599999999999994</v>
      </c>
      <c r="F727" s="20">
        <v>66.599999999999994</v>
      </c>
      <c r="G727" s="22">
        <v>0.68</v>
      </c>
      <c r="H727" s="23">
        <v>6E-9</v>
      </c>
      <c r="I727" s="20">
        <v>27.47</v>
      </c>
      <c r="J727" s="20"/>
    </row>
    <row r="728" spans="1:10" x14ac:dyDescent="0.2">
      <c r="A728" s="20" t="str">
        <f>HYPERLINK("https://www.ncbi.nlm.nih.gov/protein/XP_041129770.1?report=genbank&amp;log$=prottop&amp;blast_rank=402&amp;RID=DNNRD06A013","XP_041129770.1")</f>
        <v>XP_041129770.1</v>
      </c>
      <c r="B728" s="45">
        <v>257</v>
      </c>
      <c r="C728" s="20" t="s">
        <v>1086</v>
      </c>
      <c r="D728" s="21" t="s">
        <v>1087</v>
      </c>
      <c r="E728" s="20">
        <v>145</v>
      </c>
      <c r="F728" s="20">
        <v>145</v>
      </c>
      <c r="G728" s="22">
        <v>0.71</v>
      </c>
      <c r="H728" s="23">
        <v>2.9999999999999999E-38</v>
      </c>
      <c r="I728" s="20">
        <v>45.37</v>
      </c>
      <c r="J728" s="20"/>
    </row>
    <row r="729" spans="1:10" x14ac:dyDescent="0.2">
      <c r="A729" s="20" t="str">
        <f>HYPERLINK("https://www.ncbi.nlm.nih.gov/protein/XP_039631663.1?report=genbank&amp;log$=prottop&amp;blast_rank=297&amp;RID=DNNRD06A013","XP_039631663.1")</f>
        <v>XP_039631663.1</v>
      </c>
      <c r="B729" s="45">
        <v>261</v>
      </c>
      <c r="C729" s="20" t="s">
        <v>1088</v>
      </c>
      <c r="D729" s="21" t="s">
        <v>1089</v>
      </c>
      <c r="E729" s="20">
        <v>153</v>
      </c>
      <c r="F729" s="20">
        <v>153</v>
      </c>
      <c r="G729" s="22">
        <v>0.71</v>
      </c>
      <c r="H729" s="23">
        <v>5.9999999999999998E-41</v>
      </c>
      <c r="I729" s="20">
        <v>42.92</v>
      </c>
      <c r="J729" s="20"/>
    </row>
    <row r="730" spans="1:10" x14ac:dyDescent="0.2">
      <c r="A730" s="20" t="str">
        <f>HYPERLINK("https://www.ncbi.nlm.nih.gov/protein/XP_025113385.1?report=genbank&amp;log$=prottop&amp;blast_rank=620&amp;RID=DNNRD06A013","XP_025113385.1")</f>
        <v>XP_025113385.1</v>
      </c>
      <c r="B730" s="45">
        <v>511</v>
      </c>
      <c r="C730" s="20" t="s">
        <v>1090</v>
      </c>
      <c r="D730" s="21" t="s">
        <v>1091</v>
      </c>
      <c r="E730" s="20">
        <v>81.3</v>
      </c>
      <c r="F730" s="20">
        <v>81.3</v>
      </c>
      <c r="G730" s="22">
        <v>0.48</v>
      </c>
      <c r="H730" s="23">
        <v>4.0000000000000001E-13</v>
      </c>
      <c r="I730" s="20">
        <v>36.94</v>
      </c>
      <c r="J730" s="20"/>
    </row>
    <row r="731" spans="1:10" x14ac:dyDescent="0.2">
      <c r="A731" s="20" t="str">
        <f>HYPERLINK("https://www.ncbi.nlm.nih.gov/protein/XP_009233676.1?report=genbank&amp;log$=prottop&amp;blast_rank=364&amp;RID=DNNRD06A013","XP_009233676.1")</f>
        <v>XP_009233676.1</v>
      </c>
      <c r="B731" s="45">
        <v>236</v>
      </c>
      <c r="C731" s="20" t="s">
        <v>1092</v>
      </c>
      <c r="D731" s="21" t="s">
        <v>1093</v>
      </c>
      <c r="E731" s="20">
        <v>149</v>
      </c>
      <c r="F731" s="20">
        <v>149</v>
      </c>
      <c r="G731" s="22">
        <v>0.7</v>
      </c>
      <c r="H731" s="23">
        <v>9.0000000000000002E-40</v>
      </c>
      <c r="I731" s="20">
        <v>46.02</v>
      </c>
      <c r="J731" s="20"/>
    </row>
    <row r="732" spans="1:10" x14ac:dyDescent="0.2">
      <c r="A732" s="20" t="str">
        <f>HYPERLINK("https://www.ncbi.nlm.nih.gov/protein/XP_002813830.1?report=genbank&amp;log$=prottop&amp;blast_rank=6&amp;RID=DNNRD06A013","XP_002813830.1")</f>
        <v>XP_002813830.1</v>
      </c>
      <c r="B732" s="45">
        <v>314</v>
      </c>
      <c r="C732" s="20" t="s">
        <v>1094</v>
      </c>
      <c r="D732" s="21" t="s">
        <v>1093</v>
      </c>
      <c r="E732" s="20">
        <v>465</v>
      </c>
      <c r="F732" s="20">
        <v>465</v>
      </c>
      <c r="G732" s="22">
        <v>1</v>
      </c>
      <c r="H732" s="23">
        <v>7.0000000000000005E-163</v>
      </c>
      <c r="I732" s="20">
        <v>98.09</v>
      </c>
      <c r="J732" s="20"/>
    </row>
    <row r="733" spans="1:10" x14ac:dyDescent="0.2">
      <c r="A733" s="20" t="str">
        <f>HYPERLINK("https://www.ncbi.nlm.nih.gov/protein/XP_045119709.1?report=genbank&amp;log$=prottop&amp;blast_rank=642&amp;RID=DNNRD06A013","XP_045119709.1")</f>
        <v>XP_045119709.1</v>
      </c>
      <c r="B733" s="45">
        <v>412</v>
      </c>
      <c r="C733" s="20" t="s">
        <v>1095</v>
      </c>
      <c r="D733" s="21" t="s">
        <v>1096</v>
      </c>
      <c r="E733" s="20">
        <v>78.2</v>
      </c>
      <c r="F733" s="20">
        <v>78.2</v>
      </c>
      <c r="G733" s="22">
        <v>0.51</v>
      </c>
      <c r="H733" s="23">
        <v>2E-12</v>
      </c>
      <c r="I733" s="20">
        <v>32.979999999999997</v>
      </c>
      <c r="J733" s="20"/>
    </row>
    <row r="734" spans="1:10" x14ac:dyDescent="0.2">
      <c r="A734" s="20" t="str">
        <f>HYPERLINK("https://www.ncbi.nlm.nih.gov/protein/XP_043427343.1?report=genbank&amp;log$=prottop&amp;blast_rank=346&amp;RID=DNNRD06A013","XP_043427343.1")</f>
        <v>XP_043427343.1</v>
      </c>
      <c r="B734" s="45">
        <v>236</v>
      </c>
      <c r="C734" s="20" t="s">
        <v>1097</v>
      </c>
      <c r="D734" s="21" t="s">
        <v>1098</v>
      </c>
      <c r="E734" s="20">
        <v>150</v>
      </c>
      <c r="F734" s="20">
        <v>150</v>
      </c>
      <c r="G734" s="22">
        <v>0.7</v>
      </c>
      <c r="H734" s="23">
        <v>4.9999999999999996E-40</v>
      </c>
      <c r="I734" s="20">
        <v>45.58</v>
      </c>
      <c r="J734" s="20"/>
    </row>
    <row r="735" spans="1:10" x14ac:dyDescent="0.2">
      <c r="A735" s="20" t="str">
        <f>HYPERLINK("https://www.ncbi.nlm.nih.gov/protein/XP_047703444.1?report=genbank&amp;log$=prottop&amp;blast_rank=352&amp;RID=DNNRD06A013","XP_047703444.1")</f>
        <v>XP_047703444.1</v>
      </c>
      <c r="B735" s="45">
        <v>236</v>
      </c>
      <c r="C735" s="20" t="s">
        <v>1099</v>
      </c>
      <c r="D735" s="21" t="s">
        <v>1100</v>
      </c>
      <c r="E735" s="20">
        <v>149</v>
      </c>
      <c r="F735" s="20">
        <v>149</v>
      </c>
      <c r="G735" s="22">
        <v>0.7</v>
      </c>
      <c r="H735" s="23">
        <v>6.0000000000000004E-40</v>
      </c>
      <c r="I735" s="20">
        <v>45.58</v>
      </c>
      <c r="J735" s="20"/>
    </row>
    <row r="736" spans="1:10" x14ac:dyDescent="0.2">
      <c r="A736" s="20" t="str">
        <f>HYPERLINK("https://www.ncbi.nlm.nih.gov/protein/XP_047696628.1?report=genbank&amp;log$=prottop&amp;blast_rank=69&amp;RID=DNNRD06A013","XP_047696628.1")</f>
        <v>XP_047696628.1</v>
      </c>
      <c r="B736" s="45">
        <v>314</v>
      </c>
      <c r="C736" s="20" t="s">
        <v>1101</v>
      </c>
      <c r="D736" s="21" t="s">
        <v>1100</v>
      </c>
      <c r="E736" s="20">
        <v>400</v>
      </c>
      <c r="F736" s="20">
        <v>400</v>
      </c>
      <c r="G736" s="22">
        <v>1</v>
      </c>
      <c r="H736" s="23">
        <v>2.9999999999999998E-137</v>
      </c>
      <c r="I736" s="20">
        <v>81.53</v>
      </c>
      <c r="J736" s="20"/>
    </row>
    <row r="737" spans="1:10" x14ac:dyDescent="0.2">
      <c r="A737" s="20" t="str">
        <f>HYPERLINK("https://www.ncbi.nlm.nih.gov/protein/XP_045613516.1?report=genbank&amp;log$=prottop&amp;blast_rank=556&amp;RID=DNNRD06A013","XP_045613516.1")</f>
        <v>XP_045613516.1</v>
      </c>
      <c r="B737" s="45">
        <v>394</v>
      </c>
      <c r="C737" s="20" t="s">
        <v>1102</v>
      </c>
      <c r="D737" s="21" t="s">
        <v>1103</v>
      </c>
      <c r="E737" s="20">
        <v>88.6</v>
      </c>
      <c r="F737" s="20">
        <v>88.6</v>
      </c>
      <c r="G737" s="22">
        <v>0.49</v>
      </c>
      <c r="H737" s="23">
        <v>7.0000000000000003E-16</v>
      </c>
      <c r="I737" s="20">
        <v>34.94</v>
      </c>
      <c r="J737" s="20"/>
    </row>
    <row r="738" spans="1:10" x14ac:dyDescent="0.2">
      <c r="A738" s="20" t="str">
        <f>HYPERLINK("https://www.ncbi.nlm.nih.gov/protein/XP_012517510.1?report=genbank&amp;log$=prottop&amp;blast_rank=357&amp;RID=DNNRD06A013","XP_012517510.1")</f>
        <v>XP_012517510.1</v>
      </c>
      <c r="B738" s="45">
        <v>236</v>
      </c>
      <c r="C738" s="20" t="s">
        <v>1104</v>
      </c>
      <c r="D738" s="21" t="s">
        <v>1105</v>
      </c>
      <c r="E738" s="20">
        <v>149</v>
      </c>
      <c r="F738" s="20">
        <v>149</v>
      </c>
      <c r="G738" s="22">
        <v>0.7</v>
      </c>
      <c r="H738" s="23">
        <v>7.0000000000000003E-40</v>
      </c>
      <c r="I738" s="20">
        <v>45.13</v>
      </c>
      <c r="J738" s="20"/>
    </row>
    <row r="739" spans="1:10" x14ac:dyDescent="0.2">
      <c r="A739" s="20" t="str">
        <f>HYPERLINK("https://www.ncbi.nlm.nih.gov/protein/XP_012503813.1?report=genbank&amp;log$=prottop&amp;blast_rank=62&amp;RID=DNNRD06A013","XP_012503813.1")</f>
        <v>XP_012503813.1</v>
      </c>
      <c r="B739" s="45">
        <v>314</v>
      </c>
      <c r="C739" s="20" t="s">
        <v>1106</v>
      </c>
      <c r="D739" s="21" t="s">
        <v>1105</v>
      </c>
      <c r="E739" s="20">
        <v>402</v>
      </c>
      <c r="F739" s="20">
        <v>402</v>
      </c>
      <c r="G739" s="22">
        <v>1</v>
      </c>
      <c r="H739" s="23">
        <v>4.9999999999999999E-138</v>
      </c>
      <c r="I739" s="20">
        <v>86.62</v>
      </c>
      <c r="J739" s="20"/>
    </row>
    <row r="740" spans="1:10" x14ac:dyDescent="0.2">
      <c r="A740" s="20" t="str">
        <f>HYPERLINK("https://www.ncbi.nlm.nih.gov/protein/XP_015667743.1?report=genbank&amp;log$=prottop&amp;blast_rank=422&amp;RID=DNNRD06A013","XP_015667743.1")</f>
        <v>XP_015667743.1</v>
      </c>
      <c r="B740" s="45">
        <v>223</v>
      </c>
      <c r="C740" s="20" t="s">
        <v>1107</v>
      </c>
      <c r="D740" s="21" t="s">
        <v>1108</v>
      </c>
      <c r="E740" s="20">
        <v>139</v>
      </c>
      <c r="F740" s="20">
        <v>139</v>
      </c>
      <c r="G740" s="22">
        <v>0.71</v>
      </c>
      <c r="H740" s="23">
        <v>6.0000000000000003E-36</v>
      </c>
      <c r="I740" s="20">
        <v>40.44</v>
      </c>
      <c r="J740" s="20"/>
    </row>
    <row r="741" spans="1:10" x14ac:dyDescent="0.2">
      <c r="A741" s="20" t="str">
        <f>HYPERLINK("https://www.ncbi.nlm.nih.gov/protein/XP_043916401.1?report=genbank&amp;log$=prottop&amp;blast_rank=442&amp;RID=DNNRD06A013","XP_043916401.1")</f>
        <v>XP_043916401.1</v>
      </c>
      <c r="B741" s="45">
        <v>250</v>
      </c>
      <c r="C741" s="20" t="s">
        <v>1109</v>
      </c>
      <c r="D741" s="21" t="s">
        <v>1110</v>
      </c>
      <c r="E741" s="20">
        <v>133</v>
      </c>
      <c r="F741" s="20">
        <v>133</v>
      </c>
      <c r="G741" s="22">
        <v>0.75</v>
      </c>
      <c r="H741" s="23">
        <v>2.0000000000000001E-33</v>
      </c>
      <c r="I741" s="20">
        <v>39.75</v>
      </c>
      <c r="J741" s="20"/>
    </row>
    <row r="742" spans="1:10" x14ac:dyDescent="0.2">
      <c r="A742" s="20" t="str">
        <f>HYPERLINK("https://www.ncbi.nlm.nih.gov/protein/XP_043934847.1?report=genbank&amp;log$=prottop&amp;blast_rank=211&amp;RID=DNNRD06A013","XP_043934847.1")</f>
        <v>XP_043934847.1</v>
      </c>
      <c r="B742" s="45">
        <v>274</v>
      </c>
      <c r="C742" s="20" t="s">
        <v>1111</v>
      </c>
      <c r="D742" s="21" t="s">
        <v>1110</v>
      </c>
      <c r="E742" s="20">
        <v>174</v>
      </c>
      <c r="F742" s="20">
        <v>174</v>
      </c>
      <c r="G742" s="22">
        <v>0.71</v>
      </c>
      <c r="H742" s="23">
        <v>4.9999999999999999E-49</v>
      </c>
      <c r="I742" s="20">
        <v>42.48</v>
      </c>
      <c r="J742" s="20"/>
    </row>
    <row r="743" spans="1:10" x14ac:dyDescent="0.2">
      <c r="A743" s="20" t="str">
        <f>HYPERLINK("https://www.ncbi.nlm.nih.gov/protein/XP_043934845.1?report=genbank&amp;log$=prottop&amp;blast_rank=212&amp;RID=DNNRD06A013","XP_043934845.1")</f>
        <v>XP_043934845.1</v>
      </c>
      <c r="B743" s="45">
        <v>338</v>
      </c>
      <c r="C743" s="20" t="s">
        <v>1112</v>
      </c>
      <c r="D743" s="21" t="s">
        <v>1110</v>
      </c>
      <c r="E743" s="20">
        <v>169</v>
      </c>
      <c r="F743" s="20">
        <v>169</v>
      </c>
      <c r="G743" s="22">
        <v>0.7</v>
      </c>
      <c r="H743" s="23">
        <v>4.0000000000000001E-46</v>
      </c>
      <c r="I743" s="20">
        <v>42.54</v>
      </c>
      <c r="J743" s="20"/>
    </row>
    <row r="744" spans="1:10" x14ac:dyDescent="0.2">
      <c r="A744" s="20" t="str">
        <f>HYPERLINK("https://www.ncbi.nlm.nih.gov/protein/XP_026567139.1?report=genbank&amp;log$=prottop&amp;blast_rank=424&amp;RID=DNNRD06A013","XP_026567139.1")</f>
        <v>XP_026567139.1</v>
      </c>
      <c r="B744" s="45">
        <v>224</v>
      </c>
      <c r="C744" s="20" t="s">
        <v>1113</v>
      </c>
      <c r="D744" s="21" t="s">
        <v>1114</v>
      </c>
      <c r="E744" s="20">
        <v>138</v>
      </c>
      <c r="F744" s="20">
        <v>138</v>
      </c>
      <c r="G744" s="22">
        <v>0.7</v>
      </c>
      <c r="H744" s="23">
        <v>9.0000000000000005E-36</v>
      </c>
      <c r="I744" s="20">
        <v>41.18</v>
      </c>
      <c r="J744" s="20"/>
    </row>
    <row r="745" spans="1:10" x14ac:dyDescent="0.2">
      <c r="A745" s="20" t="str">
        <f>HYPERLINK("https://www.ncbi.nlm.nih.gov/protein/XP_006915329.1?report=genbank&amp;log$=prottop&amp;blast_rank=331&amp;RID=DNNRD06A013","XP_006915329.1")</f>
        <v>XP_006915329.1</v>
      </c>
      <c r="B745" s="45">
        <v>236</v>
      </c>
      <c r="C745" s="20" t="s">
        <v>1115</v>
      </c>
      <c r="D745" s="21" t="s">
        <v>1116</v>
      </c>
      <c r="E745" s="20">
        <v>150</v>
      </c>
      <c r="F745" s="20">
        <v>150</v>
      </c>
      <c r="G745" s="22">
        <v>0.7</v>
      </c>
      <c r="H745" s="23">
        <v>3.0000000000000002E-40</v>
      </c>
      <c r="I745" s="20">
        <v>45.29</v>
      </c>
      <c r="J745" s="20"/>
    </row>
    <row r="746" spans="1:10" x14ac:dyDescent="0.2">
      <c r="A746" s="20" t="str">
        <f>HYPERLINK("https://www.ncbi.nlm.nih.gov/protein/XP_006909117.1?report=genbank&amp;log$=prottop&amp;blast_rank=92&amp;RID=DNNRD06A013","XP_006909117.1")</f>
        <v>XP_006909117.1</v>
      </c>
      <c r="B746" s="45">
        <v>314</v>
      </c>
      <c r="C746" s="20" t="s">
        <v>1117</v>
      </c>
      <c r="D746" s="21" t="s">
        <v>1116</v>
      </c>
      <c r="E746" s="20">
        <v>392</v>
      </c>
      <c r="F746" s="20">
        <v>392</v>
      </c>
      <c r="G746" s="22">
        <v>1</v>
      </c>
      <c r="H746" s="23">
        <v>9.000000000000001E-134</v>
      </c>
      <c r="I746" s="20">
        <v>80.569999999999993</v>
      </c>
      <c r="J746" s="20"/>
    </row>
    <row r="747" spans="1:10" x14ac:dyDescent="0.2">
      <c r="A747" s="20" t="str">
        <f>HYPERLINK("https://www.ncbi.nlm.nih.gov/protein/XP_039693602.1?report=genbank&amp;log$=prottop&amp;blast_rank=99&amp;RID=DNNRD06A013","XP_039693602.1")</f>
        <v>XP_039693602.1</v>
      </c>
      <c r="B747" s="45">
        <v>314</v>
      </c>
      <c r="C747" s="20" t="s">
        <v>1118</v>
      </c>
      <c r="D747" s="21" t="s">
        <v>1119</v>
      </c>
      <c r="E747" s="20">
        <v>389</v>
      </c>
      <c r="F747" s="20">
        <v>389</v>
      </c>
      <c r="G747" s="22">
        <v>1</v>
      </c>
      <c r="H747" s="23">
        <v>9.9999999999999999E-133</v>
      </c>
      <c r="I747" s="20">
        <v>80.89</v>
      </c>
      <c r="J747" s="20"/>
    </row>
    <row r="748" spans="1:10" x14ac:dyDescent="0.2">
      <c r="A748" s="20" t="str">
        <f>HYPERLINK("https://www.ncbi.nlm.nih.gov/protein/XP_011373820.1?report=genbank&amp;log$=prottop&amp;blast_rank=283&amp;RID=DNNRD06A013","XP_011373820.1")</f>
        <v>XP_011373820.1</v>
      </c>
      <c r="B748" s="45">
        <v>236</v>
      </c>
      <c r="C748" s="20" t="s">
        <v>1120</v>
      </c>
      <c r="D748" s="21" t="s">
        <v>1121</v>
      </c>
      <c r="E748" s="20">
        <v>152</v>
      </c>
      <c r="F748" s="20">
        <v>152</v>
      </c>
      <c r="G748" s="22">
        <v>0.7</v>
      </c>
      <c r="H748" s="23">
        <v>4E-41</v>
      </c>
      <c r="I748" s="20">
        <v>45.58</v>
      </c>
      <c r="J748" s="20"/>
    </row>
    <row r="749" spans="1:10" x14ac:dyDescent="0.2">
      <c r="A749" s="20" t="str">
        <f>HYPERLINK("https://www.ncbi.nlm.nih.gov/protein/XP_011373670.1?report=genbank&amp;log$=prottop&amp;blast_rank=98&amp;RID=DNNRD06A013","XP_011373670.1")</f>
        <v>XP_011373670.1</v>
      </c>
      <c r="B749" s="45">
        <v>314</v>
      </c>
      <c r="C749" s="20" t="s">
        <v>1122</v>
      </c>
      <c r="D749" s="21" t="s">
        <v>1121</v>
      </c>
      <c r="E749" s="20">
        <v>389</v>
      </c>
      <c r="F749" s="20">
        <v>389</v>
      </c>
      <c r="G749" s="22">
        <v>1</v>
      </c>
      <c r="H749" s="23">
        <v>8.0000000000000005E-133</v>
      </c>
      <c r="I749" s="20">
        <v>80.89</v>
      </c>
      <c r="J749" s="20"/>
    </row>
    <row r="750" spans="1:10" x14ac:dyDescent="0.2">
      <c r="A750" s="20" t="str">
        <f>HYPERLINK("https://www.ncbi.nlm.nih.gov/protein/XP_025790156.1?report=genbank&amp;log$=prottop&amp;blast_rank=301&amp;RID=DNNRD06A013","XP_025790156.1")</f>
        <v>XP_025790156.1</v>
      </c>
      <c r="B750" s="45">
        <v>236</v>
      </c>
      <c r="C750" s="20" t="s">
        <v>1123</v>
      </c>
      <c r="D750" s="21" t="s">
        <v>1124</v>
      </c>
      <c r="E750" s="20">
        <v>152</v>
      </c>
      <c r="F750" s="20">
        <v>152</v>
      </c>
      <c r="G750" s="22">
        <v>0.7</v>
      </c>
      <c r="H750" s="23">
        <v>6.9999999999999999E-41</v>
      </c>
      <c r="I750" s="20">
        <v>46.02</v>
      </c>
      <c r="J750" s="20"/>
    </row>
    <row r="751" spans="1:10" x14ac:dyDescent="0.2">
      <c r="A751" s="20" t="str">
        <f>HYPERLINK("https://www.ncbi.nlm.nih.gov/protein/XP_025772236.1?report=genbank&amp;log$=prottop&amp;blast_rank=59&amp;RID=DNNRD06A013","XP_025772236.1")</f>
        <v>XP_025772236.1</v>
      </c>
      <c r="B751" s="45">
        <v>314</v>
      </c>
      <c r="C751" s="20" t="s">
        <v>1125</v>
      </c>
      <c r="D751" s="21" t="s">
        <v>1124</v>
      </c>
      <c r="E751" s="20">
        <v>403</v>
      </c>
      <c r="F751" s="20">
        <v>403</v>
      </c>
      <c r="G751" s="22">
        <v>1</v>
      </c>
      <c r="H751" s="23">
        <v>3.0000000000000001E-138</v>
      </c>
      <c r="I751" s="20">
        <v>81.849999999999994</v>
      </c>
      <c r="J751" s="20"/>
    </row>
    <row r="752" spans="1:10" x14ac:dyDescent="0.2">
      <c r="A752" s="20" t="str">
        <f>HYPERLINK("https://www.ncbi.nlm.nih.gov/protein/XP_040323442.1?report=genbank&amp;log$=prottop&amp;blast_rank=322&amp;RID=DNNRD06A013","XP_040323442.1")</f>
        <v>XP_040323442.1</v>
      </c>
      <c r="B752" s="45">
        <v>236</v>
      </c>
      <c r="C752" s="20" t="s">
        <v>1126</v>
      </c>
      <c r="D752" s="21" t="s">
        <v>1127</v>
      </c>
      <c r="E752" s="20">
        <v>151</v>
      </c>
      <c r="F752" s="20">
        <v>151</v>
      </c>
      <c r="G752" s="22">
        <v>0.7</v>
      </c>
      <c r="H752" s="23">
        <v>1.9999999999999999E-40</v>
      </c>
      <c r="I752" s="20">
        <v>45.58</v>
      </c>
      <c r="J752" s="20"/>
    </row>
    <row r="753" spans="1:10" x14ac:dyDescent="0.2">
      <c r="A753" s="20" t="str">
        <f>HYPERLINK("https://www.ncbi.nlm.nih.gov/protein/XP_025021424.1?report=genbank&amp;log$=prottop&amp;blast_rank=417&amp;RID=DNNRD06A013","XP_025021424.1")</f>
        <v>XP_025021424.1</v>
      </c>
      <c r="B753" s="45">
        <v>259</v>
      </c>
      <c r="C753" s="20" t="s">
        <v>1128</v>
      </c>
      <c r="D753" s="21" t="s">
        <v>1129</v>
      </c>
      <c r="E753" s="20">
        <v>143</v>
      </c>
      <c r="F753" s="20">
        <v>143</v>
      </c>
      <c r="G753" s="22">
        <v>0.71</v>
      </c>
      <c r="H753" s="23">
        <v>3E-37</v>
      </c>
      <c r="I753" s="20">
        <v>40</v>
      </c>
      <c r="J753" s="20"/>
    </row>
    <row r="754" spans="1:10" x14ac:dyDescent="0.2">
      <c r="A754" s="20" t="str">
        <f>HYPERLINK("https://www.ncbi.nlm.nih.gov/protein/XP_007420588.1?report=genbank&amp;log$=prottop&amp;blast_rank=406&amp;RID=DNNRD06A013","XP_007420588.1")</f>
        <v>XP_007420588.1</v>
      </c>
      <c r="B754" s="45">
        <v>225</v>
      </c>
      <c r="C754" s="20" t="s">
        <v>1130</v>
      </c>
      <c r="D754" s="21" t="s">
        <v>1129</v>
      </c>
      <c r="E754" s="20">
        <v>143</v>
      </c>
      <c r="F754" s="20">
        <v>143</v>
      </c>
      <c r="G754" s="22">
        <v>0.71</v>
      </c>
      <c r="H754" s="23">
        <v>1.0000000000000001E-37</v>
      </c>
      <c r="I754" s="20">
        <v>40</v>
      </c>
      <c r="J754" s="20"/>
    </row>
    <row r="755" spans="1:10" x14ac:dyDescent="0.2">
      <c r="A755" s="20" t="str">
        <f>HYPERLINK("https://www.ncbi.nlm.nih.gov/protein/XP_040178791.1?report=genbank&amp;log$=prottop&amp;blast_rank=415&amp;RID=DNNRD06A013","XP_040178791.1")</f>
        <v>XP_040178791.1</v>
      </c>
      <c r="B755" s="45">
        <v>220</v>
      </c>
      <c r="C755" s="20" t="s">
        <v>1131</v>
      </c>
      <c r="D755" s="21" t="s">
        <v>1132</v>
      </c>
      <c r="E755" s="20">
        <v>142</v>
      </c>
      <c r="F755" s="20">
        <v>142</v>
      </c>
      <c r="G755" s="22">
        <v>0.71</v>
      </c>
      <c r="H755" s="23">
        <v>3E-37</v>
      </c>
      <c r="I755" s="20">
        <v>41.78</v>
      </c>
      <c r="J755" s="20"/>
    </row>
    <row r="756" spans="1:10" x14ac:dyDescent="0.2">
      <c r="A756" s="20" t="str">
        <f>HYPERLINK("https://www.ncbi.nlm.nih.gov/protein/XP_040178792.1?report=genbank&amp;log$=prottop&amp;blast_rank=354&amp;RID=DNNRD06A013","XP_040178792.1")</f>
        <v>XP_040178792.1</v>
      </c>
      <c r="B756" s="45">
        <v>221</v>
      </c>
      <c r="C756" s="20" t="s">
        <v>1131</v>
      </c>
      <c r="D756" s="21" t="s">
        <v>1132</v>
      </c>
      <c r="E756" s="20">
        <v>149</v>
      </c>
      <c r="F756" s="20">
        <v>149</v>
      </c>
      <c r="G756" s="22">
        <v>0.71</v>
      </c>
      <c r="H756" s="23">
        <v>6.0000000000000004E-40</v>
      </c>
      <c r="I756" s="20">
        <v>42.22</v>
      </c>
      <c r="J756" s="20"/>
    </row>
    <row r="757" spans="1:10" x14ac:dyDescent="0.2">
      <c r="A757" s="20" t="str">
        <f>HYPERLINK("https://www.ncbi.nlm.nih.gov/protein/NP_001101050.1?report=genbank&amp;log$=prottop&amp;blast_rank=367&amp;RID=DNNRD06A013","NP_001101050.1")</f>
        <v>NP_001101050.1</v>
      </c>
      <c r="B757" s="45">
        <v>236</v>
      </c>
      <c r="C757" s="20" t="s">
        <v>1133</v>
      </c>
      <c r="D757" s="21" t="s">
        <v>1134</v>
      </c>
      <c r="E757" s="20">
        <v>149</v>
      </c>
      <c r="F757" s="20">
        <v>149</v>
      </c>
      <c r="G757" s="22">
        <v>0.7</v>
      </c>
      <c r="H757" s="23">
        <v>9.9999999999999993E-40</v>
      </c>
      <c r="I757" s="20">
        <v>44.69</v>
      </c>
      <c r="J757" s="20"/>
    </row>
    <row r="758" spans="1:10" x14ac:dyDescent="0.2">
      <c r="A758" s="20" t="str">
        <f>HYPERLINK("https://www.ncbi.nlm.nih.gov/protein/NP_001020160.1?report=genbank&amp;log$=prottop&amp;blast_rank=156&amp;RID=DNNRD06A013","NP_001020160.1")</f>
        <v>NP_001020160.1</v>
      </c>
      <c r="B758" s="45">
        <v>316</v>
      </c>
      <c r="C758" s="20" t="s">
        <v>1135</v>
      </c>
      <c r="D758" s="21" t="s">
        <v>1134</v>
      </c>
      <c r="E758" s="20">
        <v>353</v>
      </c>
      <c r="F758" s="20">
        <v>353</v>
      </c>
      <c r="G758" s="22">
        <v>1</v>
      </c>
      <c r="H758" s="23">
        <v>2E-118</v>
      </c>
      <c r="I758" s="20">
        <v>72.78</v>
      </c>
      <c r="J758" s="20"/>
    </row>
    <row r="759" spans="1:10" x14ac:dyDescent="0.2">
      <c r="A759" s="20" t="str">
        <f>HYPERLINK("https://www.ncbi.nlm.nih.gov/protein/XP_032746357.1?report=genbank&amp;log$=prottop&amp;blast_rank=379&amp;RID=DNNRD06A013","XP_032746357.1")</f>
        <v>XP_032746357.1</v>
      </c>
      <c r="B759" s="45">
        <v>236</v>
      </c>
      <c r="C759" s="20" t="s">
        <v>1136</v>
      </c>
      <c r="D759" s="21" t="s">
        <v>1137</v>
      </c>
      <c r="E759" s="20">
        <v>147</v>
      </c>
      <c r="F759" s="20">
        <v>147</v>
      </c>
      <c r="G759" s="22">
        <v>0.7</v>
      </c>
      <c r="H759" s="23">
        <v>3.0000000000000003E-39</v>
      </c>
      <c r="I759" s="20">
        <v>44.69</v>
      </c>
      <c r="J759" s="20"/>
    </row>
    <row r="760" spans="1:10" x14ac:dyDescent="0.2">
      <c r="A760" s="20" t="str">
        <f>HYPERLINK("https://www.ncbi.nlm.nih.gov/protein/XP_032766590.1?report=genbank&amp;log$=prottop&amp;blast_rank=159&amp;RID=DNNRD06A013","XP_032766590.1")</f>
        <v>XP_032766590.1</v>
      </c>
      <c r="B760" s="45">
        <v>316</v>
      </c>
      <c r="C760" s="20" t="s">
        <v>1138</v>
      </c>
      <c r="D760" s="21" t="s">
        <v>1137</v>
      </c>
      <c r="E760" s="20">
        <v>350</v>
      </c>
      <c r="F760" s="20">
        <v>350</v>
      </c>
      <c r="G760" s="22">
        <v>1</v>
      </c>
      <c r="H760" s="23">
        <v>2.0000000000000001E-117</v>
      </c>
      <c r="I760" s="20">
        <v>73.19</v>
      </c>
      <c r="J760" s="20"/>
    </row>
    <row r="761" spans="1:10" x14ac:dyDescent="0.2">
      <c r="A761" s="20" t="str">
        <f>HYPERLINK("https://www.ncbi.nlm.nih.gov/protein/XP_036321186.1?report=genbank&amp;log$=prottop&amp;blast_rank=721&amp;RID=DNNRD06A013","XP_036321186.1")</f>
        <v>XP_036321186.1</v>
      </c>
      <c r="B761" s="45">
        <v>365</v>
      </c>
      <c r="C761" s="20" t="s">
        <v>1139</v>
      </c>
      <c r="D761" s="21" t="s">
        <v>1140</v>
      </c>
      <c r="E761" s="20">
        <v>69.3</v>
      </c>
      <c r="F761" s="20">
        <v>116</v>
      </c>
      <c r="G761" s="22">
        <v>0.69</v>
      </c>
      <c r="H761" s="23">
        <v>2.0000000000000001E-9</v>
      </c>
      <c r="I761" s="20">
        <v>35.53</v>
      </c>
      <c r="J761" s="20"/>
    </row>
    <row r="762" spans="1:10" x14ac:dyDescent="0.2">
      <c r="A762" s="20" t="str">
        <f>HYPERLINK("https://www.ncbi.nlm.nih.gov/protein/XP_017477346.1?report=genbank&amp;log$=prottop&amp;blast_rank=723&amp;RID=DNNRD06A013","XP_017477346.1")</f>
        <v>XP_017477346.1</v>
      </c>
      <c r="B762" s="45">
        <v>365</v>
      </c>
      <c r="C762" s="20" t="s">
        <v>1141</v>
      </c>
      <c r="D762" s="21" t="s">
        <v>1142</v>
      </c>
      <c r="E762" s="20">
        <v>68.599999999999994</v>
      </c>
      <c r="F762" s="20">
        <v>116</v>
      </c>
      <c r="G762" s="22">
        <v>0.69</v>
      </c>
      <c r="H762" s="23">
        <v>4.0000000000000002E-9</v>
      </c>
      <c r="I762" s="20">
        <v>35.53</v>
      </c>
      <c r="J762" s="20"/>
    </row>
    <row r="763" spans="1:10" x14ac:dyDescent="0.2">
      <c r="A763" s="20" t="str">
        <f>HYPERLINK("https://www.ncbi.nlm.nih.gov/protein/XP_029441554.1?report=genbank&amp;log$=prottop&amp;blast_rank=239&amp;RID=DNNRD06A013","XP_029441554.1")</f>
        <v>XP_029441554.1</v>
      </c>
      <c r="B763" s="45">
        <v>243</v>
      </c>
      <c r="C763" s="20" t="s">
        <v>1143</v>
      </c>
      <c r="D763" s="21" t="s">
        <v>1144</v>
      </c>
      <c r="E763" s="20">
        <v>155</v>
      </c>
      <c r="F763" s="20">
        <v>155</v>
      </c>
      <c r="G763" s="22">
        <v>0.71</v>
      </c>
      <c r="H763" s="23">
        <v>4.0000000000000002E-42</v>
      </c>
      <c r="I763" s="20">
        <v>43.61</v>
      </c>
      <c r="J763" s="20"/>
    </row>
    <row r="764" spans="1:10" x14ac:dyDescent="0.2">
      <c r="A764" s="20" t="str">
        <f>HYPERLINK("https://www.ncbi.nlm.nih.gov/protein/XP_029455257.1?report=genbank&amp;log$=prottop&amp;blast_rank=208&amp;RID=DNNRD06A013","XP_029455257.1")</f>
        <v>XP_029455257.1</v>
      </c>
      <c r="B764" s="45">
        <v>366</v>
      </c>
      <c r="C764" s="20" t="s">
        <v>1145</v>
      </c>
      <c r="D764" s="21" t="s">
        <v>1144</v>
      </c>
      <c r="E764" s="20">
        <v>187</v>
      </c>
      <c r="F764" s="20">
        <v>187</v>
      </c>
      <c r="G764" s="22">
        <v>0.76</v>
      </c>
      <c r="H764" s="23">
        <v>8.0000000000000002E-53</v>
      </c>
      <c r="I764" s="20">
        <v>45.56</v>
      </c>
      <c r="J764" s="20"/>
    </row>
    <row r="765" spans="1:10" x14ac:dyDescent="0.2">
      <c r="A765" s="20" t="str">
        <f>HYPERLINK("https://www.ncbi.nlm.nih.gov/protein/XP_029455258.1?report=genbank&amp;log$=prottop&amp;blast_rank=206&amp;RID=DNNRD06A013","XP_029455258.1")</f>
        <v>XP_029455258.1</v>
      </c>
      <c r="B765" s="45">
        <v>329</v>
      </c>
      <c r="C765" s="20" t="s">
        <v>1146</v>
      </c>
      <c r="D765" s="21" t="s">
        <v>1144</v>
      </c>
      <c r="E765" s="20">
        <v>187</v>
      </c>
      <c r="F765" s="20">
        <v>187</v>
      </c>
      <c r="G765" s="22">
        <v>0.76</v>
      </c>
      <c r="H765" s="23">
        <v>1E-53</v>
      </c>
      <c r="I765" s="20">
        <v>45.56</v>
      </c>
      <c r="J765" s="20"/>
    </row>
    <row r="766" spans="1:10" x14ac:dyDescent="0.2">
      <c r="A766" s="20" t="str">
        <f>HYPERLINK("https://www.ncbi.nlm.nih.gov/protein/XP_032965295.1?report=genbank&amp;log$=prottop&amp;blast_rank=282&amp;RID=DNNRD06A013","XP_032965295.1")</f>
        <v>XP_032965295.1</v>
      </c>
      <c r="B766" s="45">
        <v>236</v>
      </c>
      <c r="C766" s="20" t="s">
        <v>1147</v>
      </c>
      <c r="D766" s="21" t="s">
        <v>1148</v>
      </c>
      <c r="E766" s="20">
        <v>152</v>
      </c>
      <c r="F766" s="20">
        <v>152</v>
      </c>
      <c r="G766" s="22">
        <v>0.7</v>
      </c>
      <c r="H766" s="23">
        <v>4E-41</v>
      </c>
      <c r="I766" s="20">
        <v>46.9</v>
      </c>
      <c r="J766" s="20"/>
    </row>
    <row r="767" spans="1:10" x14ac:dyDescent="0.2">
      <c r="A767" s="20" t="str">
        <f>HYPERLINK("https://www.ncbi.nlm.nih.gov/protein/XP_032988942.1?report=genbank&amp;log$=prottop&amp;blast_rank=114&amp;RID=DNNRD06A013","XP_032988942.1")</f>
        <v>XP_032988942.1</v>
      </c>
      <c r="B767" s="45">
        <v>314</v>
      </c>
      <c r="C767" s="20" t="s">
        <v>1149</v>
      </c>
      <c r="D767" s="21" t="s">
        <v>1148</v>
      </c>
      <c r="E767" s="20">
        <v>384</v>
      </c>
      <c r="F767" s="20">
        <v>384</v>
      </c>
      <c r="G767" s="22">
        <v>1</v>
      </c>
      <c r="H767" s="23">
        <v>1.0000000000000001E-130</v>
      </c>
      <c r="I767" s="20">
        <v>78.66</v>
      </c>
      <c r="J767" s="20"/>
    </row>
    <row r="768" spans="1:10" x14ac:dyDescent="0.2">
      <c r="A768" s="20" t="str">
        <f>HYPERLINK("https://www.ncbi.nlm.nih.gov/protein/XP_019610697.1?report=genbank&amp;log$=prottop&amp;blast_rank=274&amp;RID=DNNRD06A013","XP_019610697.1")</f>
        <v>XP_019610697.1</v>
      </c>
      <c r="B768" s="45">
        <v>236</v>
      </c>
      <c r="C768" s="20" t="s">
        <v>1150</v>
      </c>
      <c r="D768" s="21" t="s">
        <v>1151</v>
      </c>
      <c r="E768" s="20">
        <v>153</v>
      </c>
      <c r="F768" s="20">
        <v>153</v>
      </c>
      <c r="G768" s="22">
        <v>0.7</v>
      </c>
      <c r="H768" s="23">
        <v>2.9999999999999999E-41</v>
      </c>
      <c r="I768" s="20">
        <v>46.9</v>
      </c>
      <c r="J768" s="20"/>
    </row>
    <row r="769" spans="1:10" x14ac:dyDescent="0.2">
      <c r="A769" s="20" t="str">
        <f>HYPERLINK("https://www.ncbi.nlm.nih.gov/protein/XP_019579503.1?report=genbank&amp;log$=prottop&amp;blast_rank=103&amp;RID=DNNRD06A013","XP_019579503.1")</f>
        <v>XP_019579503.1</v>
      </c>
      <c r="B769" s="45">
        <v>313</v>
      </c>
      <c r="C769" s="20" t="s">
        <v>1152</v>
      </c>
      <c r="D769" s="21" t="s">
        <v>1151</v>
      </c>
      <c r="E769" s="20">
        <v>387</v>
      </c>
      <c r="F769" s="20">
        <v>387</v>
      </c>
      <c r="G769" s="22">
        <v>0.99</v>
      </c>
      <c r="H769" s="23">
        <v>3.9999999999999999E-132</v>
      </c>
      <c r="I769" s="20">
        <v>79.87</v>
      </c>
      <c r="J769" s="20"/>
    </row>
    <row r="770" spans="1:10" x14ac:dyDescent="0.2">
      <c r="A770" s="20" t="str">
        <f>HYPERLINK("https://www.ncbi.nlm.nih.gov/protein/XP_010360063.2?report=genbank&amp;log$=prottop&amp;blast_rank=273&amp;RID=DNNRD06A013","XP_010360063.2")</f>
        <v>XP_010360063.2</v>
      </c>
      <c r="B770" s="45">
        <v>253</v>
      </c>
      <c r="C770" s="20" t="s">
        <v>1153</v>
      </c>
      <c r="D770" s="21" t="s">
        <v>1154</v>
      </c>
      <c r="E770" s="20">
        <v>153</v>
      </c>
      <c r="F770" s="20">
        <v>153</v>
      </c>
      <c r="G770" s="22">
        <v>0.7</v>
      </c>
      <c r="H770" s="23">
        <v>2.9999999999999999E-41</v>
      </c>
      <c r="I770" s="20">
        <v>46.46</v>
      </c>
      <c r="J770" s="20"/>
    </row>
    <row r="771" spans="1:10" x14ac:dyDescent="0.2">
      <c r="A771" s="20" t="str">
        <f>HYPERLINK("https://www.ncbi.nlm.nih.gov/protein/XP_010360064.2?report=genbank&amp;log$=prottop&amp;blast_rank=266&amp;RID=DNNRD06A013","XP_010360064.2")</f>
        <v>XP_010360064.2</v>
      </c>
      <c r="B771" s="45">
        <v>236</v>
      </c>
      <c r="C771" s="20" t="s">
        <v>1155</v>
      </c>
      <c r="D771" s="21" t="s">
        <v>1154</v>
      </c>
      <c r="E771" s="20">
        <v>153</v>
      </c>
      <c r="F771" s="20">
        <v>153</v>
      </c>
      <c r="G771" s="22">
        <v>0.7</v>
      </c>
      <c r="H771" s="23">
        <v>2.9999999999999999E-41</v>
      </c>
      <c r="I771" s="20">
        <v>46.46</v>
      </c>
      <c r="J771" s="20"/>
    </row>
    <row r="772" spans="1:10" x14ac:dyDescent="0.2">
      <c r="A772" s="20" t="str">
        <f>HYPERLINK("https://www.ncbi.nlm.nih.gov/protein/XP_010368722.1?report=genbank&amp;log$=prottop&amp;blast_rank=9&amp;RID=DNNRD06A013","XP_010368722.1")</f>
        <v>XP_010368722.1</v>
      </c>
      <c r="B772" s="45">
        <v>314</v>
      </c>
      <c r="C772" s="20" t="s">
        <v>1156</v>
      </c>
      <c r="D772" s="21" t="s">
        <v>1154</v>
      </c>
      <c r="E772" s="20">
        <v>459</v>
      </c>
      <c r="F772" s="20">
        <v>459</v>
      </c>
      <c r="G772" s="22">
        <v>1</v>
      </c>
      <c r="H772" s="23">
        <v>2E-160</v>
      </c>
      <c r="I772" s="20">
        <v>96.18</v>
      </c>
      <c r="J772" s="20"/>
    </row>
    <row r="773" spans="1:10" x14ac:dyDescent="0.2">
      <c r="A773" s="20" t="str">
        <f>HYPERLINK("https://www.ncbi.nlm.nih.gov/protein/XP_037269290.1?report=genbank&amp;log$=prottop&amp;blast_rank=520&amp;RID=DNNRD06A013","XP_037269290.1")</f>
        <v>XP_037269290.1</v>
      </c>
      <c r="B773" s="45">
        <v>308</v>
      </c>
      <c r="C773" s="20" t="s">
        <v>1157</v>
      </c>
      <c r="D773" s="21" t="s">
        <v>1158</v>
      </c>
      <c r="E773" s="20">
        <v>97.4</v>
      </c>
      <c r="F773" s="20">
        <v>97.4</v>
      </c>
      <c r="G773" s="22">
        <v>0.67</v>
      </c>
      <c r="H773" s="23">
        <v>2E-19</v>
      </c>
      <c r="I773" s="20">
        <v>28.95</v>
      </c>
      <c r="J773" s="20"/>
    </row>
    <row r="774" spans="1:10" x14ac:dyDescent="0.2">
      <c r="A774" s="20" t="str">
        <f>HYPERLINK("https://www.ncbi.nlm.nih.gov/protein/XP_037269284.1?report=genbank&amp;log$=prottop&amp;blast_rank=628&amp;RID=DNNRD06A013","XP_037269284.1")</f>
        <v>XP_037269284.1</v>
      </c>
      <c r="B774" s="45">
        <v>327</v>
      </c>
      <c r="C774" s="20" t="s">
        <v>1159</v>
      </c>
      <c r="D774" s="21" t="s">
        <v>1158</v>
      </c>
      <c r="E774" s="20">
        <v>79.3</v>
      </c>
      <c r="F774" s="20">
        <v>79.3</v>
      </c>
      <c r="G774" s="22">
        <v>0.56000000000000005</v>
      </c>
      <c r="H774" s="23">
        <v>7.0000000000000005E-13</v>
      </c>
      <c r="I774" s="20">
        <v>35.520000000000003</v>
      </c>
      <c r="J774" s="20"/>
    </row>
    <row r="775" spans="1:10" x14ac:dyDescent="0.2">
      <c r="A775" s="20" t="str">
        <f>HYPERLINK("https://www.ncbi.nlm.nih.gov/protein/XP_037269286.1?report=genbank&amp;log$=prottop&amp;blast_rank=760&amp;RID=DNNRD06A013","XP_037269286.1")</f>
        <v>XP_037269286.1</v>
      </c>
      <c r="B775" s="45">
        <v>300</v>
      </c>
      <c r="C775" s="20" t="s">
        <v>1160</v>
      </c>
      <c r="D775" s="21" t="s">
        <v>1158</v>
      </c>
      <c r="E775" s="20">
        <v>63.5</v>
      </c>
      <c r="F775" s="20">
        <v>63.5</v>
      </c>
      <c r="G775" s="22">
        <v>0.52</v>
      </c>
      <c r="H775" s="23">
        <v>9.9999999999999995E-8</v>
      </c>
      <c r="I775" s="20">
        <v>33.729999999999997</v>
      </c>
      <c r="J775" s="20"/>
    </row>
    <row r="776" spans="1:10" x14ac:dyDescent="0.2">
      <c r="A776" s="20" t="str">
        <f>HYPERLINK("https://www.ncbi.nlm.nih.gov/protein/XP_037269291.1?report=genbank&amp;log$=prottop&amp;blast_rank=687&amp;RID=DNNRD06A013","XP_037269291.1")</f>
        <v>XP_037269291.1</v>
      </c>
      <c r="B776" s="45">
        <v>295</v>
      </c>
      <c r="C776" s="20" t="s">
        <v>1161</v>
      </c>
      <c r="D776" s="21" t="s">
        <v>1158</v>
      </c>
      <c r="E776" s="20">
        <v>73.900000000000006</v>
      </c>
      <c r="F776" s="20">
        <v>73.900000000000006</v>
      </c>
      <c r="G776" s="22">
        <v>0.4</v>
      </c>
      <c r="H776" s="23">
        <v>3.9999999999999998E-11</v>
      </c>
      <c r="I776" s="20">
        <v>36.43</v>
      </c>
      <c r="J776" s="20"/>
    </row>
    <row r="777" spans="1:10" x14ac:dyDescent="0.2">
      <c r="A777" s="20" t="str">
        <f>HYPERLINK("https://www.ncbi.nlm.nih.gov/protein/XP_037504814.1?report=genbank&amp;log$=prottop&amp;blast_rank=495&amp;RID=DNNRD06A013","XP_037504814.1")</f>
        <v>XP_037504814.1</v>
      </c>
      <c r="B777" s="45">
        <v>311</v>
      </c>
      <c r="C777" s="20" t="s">
        <v>1162</v>
      </c>
      <c r="D777" s="21" t="s">
        <v>1163</v>
      </c>
      <c r="E777" s="20">
        <v>105</v>
      </c>
      <c r="F777" s="20">
        <v>105</v>
      </c>
      <c r="G777" s="22">
        <v>0.69</v>
      </c>
      <c r="H777" s="23">
        <v>2.0000000000000001E-22</v>
      </c>
      <c r="I777" s="20">
        <v>31.06</v>
      </c>
      <c r="J777" s="20"/>
    </row>
    <row r="778" spans="1:10" x14ac:dyDescent="0.2">
      <c r="A778" s="20" t="str">
        <f>HYPERLINK("https://www.ncbi.nlm.nih.gov/protein/XP_037503600.1?report=genbank&amp;log$=prottop&amp;blast_rank=603&amp;RID=DNNRD06A013","XP_037503600.1")</f>
        <v>XP_037503600.1</v>
      </c>
      <c r="B778" s="45">
        <v>330</v>
      </c>
      <c r="C778" s="20" t="s">
        <v>1164</v>
      </c>
      <c r="D778" s="21" t="s">
        <v>1163</v>
      </c>
      <c r="E778" s="20">
        <v>81.599999999999994</v>
      </c>
      <c r="F778" s="20">
        <v>81.599999999999994</v>
      </c>
      <c r="G778" s="22">
        <v>0.5</v>
      </c>
      <c r="H778" s="23">
        <v>1E-13</v>
      </c>
      <c r="I778" s="20">
        <v>37.35</v>
      </c>
      <c r="J778" s="20"/>
    </row>
    <row r="779" spans="1:10" x14ac:dyDescent="0.2">
      <c r="A779" s="20" t="str">
        <f>HYPERLINK("https://www.ncbi.nlm.nih.gov/protein/XP_015988594.2?report=genbank&amp;log$=prottop&amp;blast_rank=278&amp;RID=DNNRD06A013","XP_015988594.2")</f>
        <v>XP_015988594.2</v>
      </c>
      <c r="B779" s="45">
        <v>236</v>
      </c>
      <c r="C779" s="20" t="s">
        <v>1165</v>
      </c>
      <c r="D779" s="21" t="s">
        <v>1166</v>
      </c>
      <c r="E779" s="20">
        <v>152</v>
      </c>
      <c r="F779" s="20">
        <v>152</v>
      </c>
      <c r="G779" s="22">
        <v>0.7</v>
      </c>
      <c r="H779" s="23">
        <v>4E-41</v>
      </c>
      <c r="I779" s="20">
        <v>45.58</v>
      </c>
      <c r="J779" s="20"/>
    </row>
    <row r="780" spans="1:10" x14ac:dyDescent="0.2">
      <c r="A780" s="20" t="str">
        <f>HYPERLINK("https://www.ncbi.nlm.nih.gov/protein/XP_016005329.1?report=genbank&amp;log$=prottop&amp;blast_rank=146&amp;RID=DNNRD06A013","XP_016005329.1")</f>
        <v>XP_016005329.1</v>
      </c>
      <c r="B780" s="45">
        <v>397</v>
      </c>
      <c r="C780" s="20" t="s">
        <v>1167</v>
      </c>
      <c r="D780" s="21" t="s">
        <v>1166</v>
      </c>
      <c r="E780" s="20">
        <v>362</v>
      </c>
      <c r="F780" s="20">
        <v>362</v>
      </c>
      <c r="G780" s="22">
        <v>1</v>
      </c>
      <c r="H780" s="23">
        <v>3.9999999999999999E-121</v>
      </c>
      <c r="I780" s="20">
        <v>80.25</v>
      </c>
      <c r="J780" s="20"/>
    </row>
    <row r="781" spans="1:10" x14ac:dyDescent="0.2">
      <c r="A781" s="20" t="str">
        <f>HYPERLINK("https://www.ncbi.nlm.nih.gov/protein/XP_016005330.1?report=genbank&amp;log$=prottop&amp;blast_rank=131&amp;RID=DNNRD06A013","XP_016005330.1")</f>
        <v>XP_016005330.1</v>
      </c>
      <c r="B781" s="45">
        <v>314</v>
      </c>
      <c r="C781" s="20" t="s">
        <v>1168</v>
      </c>
      <c r="D781" s="21" t="s">
        <v>1166</v>
      </c>
      <c r="E781" s="20">
        <v>365</v>
      </c>
      <c r="F781" s="20">
        <v>365</v>
      </c>
      <c r="G781" s="22">
        <v>1</v>
      </c>
      <c r="H781" s="23">
        <v>2.9999999999999998E-123</v>
      </c>
      <c r="I781" s="20">
        <v>80.25</v>
      </c>
      <c r="J781" s="20"/>
    </row>
    <row r="782" spans="1:10" x14ac:dyDescent="0.2">
      <c r="A782" s="20" t="str">
        <f>HYPERLINK("https://www.ncbi.nlm.nih.gov/protein/XP_006824670.1?report=genbank&amp;log$=prottop&amp;blast_rank=473&amp;RID=DNNRD06A013","XP_006824670.1")</f>
        <v>XP_006824670.1</v>
      </c>
      <c r="B782" s="45">
        <v>260</v>
      </c>
      <c r="C782" s="20" t="s">
        <v>1169</v>
      </c>
      <c r="D782" s="21" t="s">
        <v>1170</v>
      </c>
      <c r="E782" s="20">
        <v>112</v>
      </c>
      <c r="F782" s="20">
        <v>112</v>
      </c>
      <c r="G782" s="22">
        <v>0.64</v>
      </c>
      <c r="H782" s="23">
        <v>1E-25</v>
      </c>
      <c r="I782" s="20">
        <v>36.270000000000003</v>
      </c>
      <c r="J782" s="20"/>
    </row>
    <row r="783" spans="1:10" x14ac:dyDescent="0.2">
      <c r="A783" s="20" t="str">
        <f>HYPERLINK("https://www.ncbi.nlm.nih.gov/protein/XP_002736377.1?report=genbank&amp;log$=prottop&amp;blast_rank=489&amp;RID=DNNRD06A013","XP_002736377.1")</f>
        <v>XP_002736377.1</v>
      </c>
      <c r="B783" s="45">
        <v>261</v>
      </c>
      <c r="C783" s="20" t="s">
        <v>1169</v>
      </c>
      <c r="D783" s="21" t="s">
        <v>1170</v>
      </c>
      <c r="E783" s="20">
        <v>106</v>
      </c>
      <c r="F783" s="20">
        <v>106</v>
      </c>
      <c r="G783" s="22">
        <v>0.7</v>
      </c>
      <c r="H783" s="23">
        <v>3E-23</v>
      </c>
      <c r="I783" s="20">
        <v>36.28</v>
      </c>
      <c r="J783" s="20"/>
    </row>
    <row r="784" spans="1:10" x14ac:dyDescent="0.2">
      <c r="A784" s="20" t="str">
        <f>HYPERLINK("https://www.ncbi.nlm.nih.gov/protein/XP_002737131.1?report=genbank&amp;log$=prottop&amp;blast_rank=478&amp;RID=DNNRD06A013","XP_002737131.1")</f>
        <v>XP_002737131.1</v>
      </c>
      <c r="B784" s="45">
        <v>598</v>
      </c>
      <c r="C784" s="20" t="s">
        <v>1171</v>
      </c>
      <c r="D784" s="21" t="s">
        <v>1170</v>
      </c>
      <c r="E784" s="20">
        <v>115</v>
      </c>
      <c r="F784" s="20">
        <v>115</v>
      </c>
      <c r="G784" s="22">
        <v>0.7</v>
      </c>
      <c r="H784" s="23">
        <v>7.0000000000000004E-25</v>
      </c>
      <c r="I784" s="20">
        <v>35.619999999999997</v>
      </c>
      <c r="J784" s="20"/>
    </row>
    <row r="785" spans="1:10" x14ac:dyDescent="0.2">
      <c r="A785" s="20" t="str">
        <f>HYPERLINK("https://www.ncbi.nlm.nih.gov/protein/XP_010330063.1?report=genbank&amp;log$=prottop&amp;blast_rank=318&amp;RID=DNNRD06A013","XP_010330063.1")</f>
        <v>XP_010330063.1</v>
      </c>
      <c r="B785" s="45">
        <v>236</v>
      </c>
      <c r="C785" s="20" t="s">
        <v>1172</v>
      </c>
      <c r="D785" s="21" t="s">
        <v>1173</v>
      </c>
      <c r="E785" s="20">
        <v>151</v>
      </c>
      <c r="F785" s="20">
        <v>151</v>
      </c>
      <c r="G785" s="22">
        <v>0.71</v>
      </c>
      <c r="H785" s="23">
        <v>9.9999999999999993E-41</v>
      </c>
      <c r="I785" s="20">
        <v>45.61</v>
      </c>
      <c r="J785" s="20"/>
    </row>
    <row r="786" spans="1:10" x14ac:dyDescent="0.2">
      <c r="A786" s="20" t="str">
        <f>HYPERLINK("https://www.ncbi.nlm.nih.gov/protein/XP_010335364.1?report=genbank&amp;log$=prottop&amp;blast_rank=26&amp;RID=DNNRD06A013","XP_010335364.1")</f>
        <v>XP_010335364.1</v>
      </c>
      <c r="B786" s="45">
        <v>314</v>
      </c>
      <c r="C786" s="20" t="s">
        <v>1174</v>
      </c>
      <c r="D786" s="21" t="s">
        <v>1173</v>
      </c>
      <c r="E786" s="20">
        <v>427</v>
      </c>
      <c r="F786" s="20">
        <v>427</v>
      </c>
      <c r="G786" s="22">
        <v>1</v>
      </c>
      <c r="H786" s="23">
        <v>7.9999999999999995E-148</v>
      </c>
      <c r="I786" s="20">
        <v>90.45</v>
      </c>
      <c r="J786" s="20"/>
    </row>
    <row r="787" spans="1:10" x14ac:dyDescent="0.2">
      <c r="A787" s="20" t="str">
        <f>HYPERLINK("https://www.ncbi.nlm.nih.gov/protein/XP_032121084.1?report=genbank&amp;log$=prottop&amp;blast_rank=356&amp;RID=DNNRD06A013","XP_032121084.1")</f>
        <v>XP_032121084.1</v>
      </c>
      <c r="B787" s="45">
        <v>236</v>
      </c>
      <c r="C787" s="20" t="s">
        <v>1175</v>
      </c>
      <c r="D787" s="21" t="s">
        <v>1176</v>
      </c>
      <c r="E787" s="20">
        <v>149</v>
      </c>
      <c r="F787" s="20">
        <v>149</v>
      </c>
      <c r="G787" s="22">
        <v>0.71</v>
      </c>
      <c r="H787" s="23">
        <v>7.0000000000000003E-40</v>
      </c>
      <c r="I787" s="20">
        <v>45.18</v>
      </c>
      <c r="J787" s="20"/>
    </row>
    <row r="788" spans="1:10" x14ac:dyDescent="0.2">
      <c r="A788" s="20" t="str">
        <f>HYPERLINK("https://www.ncbi.nlm.nih.gov/protein/XP_032145606.1?report=genbank&amp;log$=prottop&amp;blast_rank=27&amp;RID=DNNRD06A013","XP_032145606.1")</f>
        <v>XP_032145606.1</v>
      </c>
      <c r="B788" s="45">
        <v>374</v>
      </c>
      <c r="C788" s="20" t="s">
        <v>1177</v>
      </c>
      <c r="D788" s="21" t="s">
        <v>1176</v>
      </c>
      <c r="E788" s="20">
        <v>429</v>
      </c>
      <c r="F788" s="20">
        <v>429</v>
      </c>
      <c r="G788" s="22">
        <v>1</v>
      </c>
      <c r="H788" s="23">
        <v>9.9999999999999997E-148</v>
      </c>
      <c r="I788" s="20">
        <v>90.76</v>
      </c>
      <c r="J788" s="20"/>
    </row>
    <row r="789" spans="1:10" x14ac:dyDescent="0.2">
      <c r="A789" s="20" t="str">
        <f>HYPERLINK("https://www.ncbi.nlm.nih.gov/protein/XP_003775130.1?report=genbank&amp;log$=prottop&amp;blast_rank=250&amp;RID=DNNRD06A013","XP_003775130.1")</f>
        <v>XP_003775130.1</v>
      </c>
      <c r="B789" s="45">
        <v>240</v>
      </c>
      <c r="C789" s="20" t="s">
        <v>1178</v>
      </c>
      <c r="D789" s="21" t="s">
        <v>1179</v>
      </c>
      <c r="E789" s="20">
        <v>154</v>
      </c>
      <c r="F789" s="20">
        <v>154</v>
      </c>
      <c r="G789" s="22">
        <v>0.73</v>
      </c>
      <c r="H789" s="23">
        <v>8.0000000000000003E-42</v>
      </c>
      <c r="I789" s="20">
        <v>41.81</v>
      </c>
      <c r="J789" s="20"/>
    </row>
    <row r="790" spans="1:10" x14ac:dyDescent="0.2">
      <c r="A790" s="20" t="str">
        <f>HYPERLINK("https://www.ncbi.nlm.nih.gov/protein/XP_031817059.1?report=genbank&amp;log$=prottop&amp;blast_rank=185&amp;RID=DNNRD06A013","XP_031817059.1")</f>
        <v>XP_031817059.1</v>
      </c>
      <c r="B790" s="45">
        <v>325</v>
      </c>
      <c r="C790" s="20" t="s">
        <v>1180</v>
      </c>
      <c r="D790" s="21" t="s">
        <v>1179</v>
      </c>
      <c r="E790" s="20">
        <v>280</v>
      </c>
      <c r="F790" s="20">
        <v>280</v>
      </c>
      <c r="G790" s="22">
        <v>0.74</v>
      </c>
      <c r="H790" s="23">
        <v>6.9999999999999997E-90</v>
      </c>
      <c r="I790" s="20">
        <v>68.22</v>
      </c>
      <c r="J790" s="20"/>
    </row>
    <row r="791" spans="1:10" x14ac:dyDescent="0.2">
      <c r="A791" s="20" t="str">
        <f>HYPERLINK("https://www.ncbi.nlm.nih.gov/protein/XP_030377036.1?report=genbank&amp;log$=prottop&amp;blast_rank=795&amp;RID=DNNRD06A013","XP_030377036.1")</f>
        <v>XP_030377036.1</v>
      </c>
      <c r="B791" s="45">
        <v>350</v>
      </c>
      <c r="C791" s="20" t="s">
        <v>1181</v>
      </c>
      <c r="D791" s="21" t="s">
        <v>1182</v>
      </c>
      <c r="E791" s="20">
        <v>59.7</v>
      </c>
      <c r="F791" s="20">
        <v>59.7</v>
      </c>
      <c r="G791" s="22">
        <v>0.47</v>
      </c>
      <c r="H791" s="23">
        <v>3.0000000000000001E-6</v>
      </c>
      <c r="I791" s="20">
        <v>34.42</v>
      </c>
      <c r="J791" s="20"/>
    </row>
    <row r="792" spans="1:10" x14ac:dyDescent="0.2">
      <c r="A792" s="20" t="str">
        <f>HYPERLINK("https://www.ncbi.nlm.nih.gov/protein/XP_042310355.1?report=genbank&amp;log$=prottop&amp;blast_rank=418&amp;RID=DNNRD06A013","XP_042310355.1")</f>
        <v>XP_042310355.1</v>
      </c>
      <c r="B792" s="45">
        <v>229</v>
      </c>
      <c r="C792" s="20" t="s">
        <v>1183</v>
      </c>
      <c r="D792" s="21" t="s">
        <v>1184</v>
      </c>
      <c r="E792" s="20">
        <v>142</v>
      </c>
      <c r="F792" s="20">
        <v>142</v>
      </c>
      <c r="G792" s="22">
        <v>0.72</v>
      </c>
      <c r="H792" s="23">
        <v>4.0000000000000003E-37</v>
      </c>
      <c r="I792" s="20">
        <v>38.86</v>
      </c>
      <c r="J792" s="20"/>
    </row>
    <row r="793" spans="1:10" x14ac:dyDescent="0.2">
      <c r="A793" s="20" t="str">
        <f>HYPERLINK("https://www.ncbi.nlm.nih.gov/protein/XP_042303411.1?report=genbank&amp;log$=prottop&amp;blast_rank=209&amp;RID=DNNRD06A013","XP_042303411.1")</f>
        <v>XP_042303411.1</v>
      </c>
      <c r="B793" s="45">
        <v>374</v>
      </c>
      <c r="C793" s="20" t="s">
        <v>1185</v>
      </c>
      <c r="D793" s="21" t="s">
        <v>1184</v>
      </c>
      <c r="E793" s="20">
        <v>184</v>
      </c>
      <c r="F793" s="20">
        <v>184</v>
      </c>
      <c r="G793" s="22">
        <v>0.72</v>
      </c>
      <c r="H793" s="23">
        <v>1E-51</v>
      </c>
      <c r="I793" s="20">
        <v>45.11</v>
      </c>
      <c r="J793" s="20"/>
    </row>
    <row r="794" spans="1:10" x14ac:dyDescent="0.2">
      <c r="A794" s="20" t="str">
        <f>HYPERLINK("https://www.ncbi.nlm.nih.gov/protein/XP_046996896.1?report=genbank&amp;log$=prottop&amp;blast_rank=617&amp;RID=DNNRD06A013","XP_046996896.1")</f>
        <v>XP_046996896.1</v>
      </c>
      <c r="B794" s="45">
        <v>381</v>
      </c>
      <c r="C794" s="20" t="s">
        <v>1186</v>
      </c>
      <c r="D794" s="21" t="s">
        <v>1187</v>
      </c>
      <c r="E794" s="20">
        <v>80.900000000000006</v>
      </c>
      <c r="F794" s="20">
        <v>80.900000000000006</v>
      </c>
      <c r="G794" s="22">
        <v>0.48</v>
      </c>
      <c r="H794" s="23">
        <v>2.9999999999999998E-13</v>
      </c>
      <c r="I794" s="20">
        <v>35.03</v>
      </c>
      <c r="J794" s="20"/>
    </row>
    <row r="795" spans="1:10" x14ac:dyDescent="0.2">
      <c r="A795" s="20" t="str">
        <f>HYPERLINK("https://www.ncbi.nlm.nih.gov/protein/XP_047115005.1?report=genbank&amp;log$=prottop&amp;blast_rank=609&amp;RID=DNNRD06A013","XP_047115005.1")</f>
        <v>XP_047115005.1</v>
      </c>
      <c r="B795" s="45">
        <v>336</v>
      </c>
      <c r="C795" s="20" t="s">
        <v>1188</v>
      </c>
      <c r="D795" s="21" t="s">
        <v>1189</v>
      </c>
      <c r="E795" s="20">
        <v>81.3</v>
      </c>
      <c r="F795" s="20">
        <v>81.3</v>
      </c>
      <c r="G795" s="22">
        <v>0.48</v>
      </c>
      <c r="H795" s="23">
        <v>2.0000000000000001E-13</v>
      </c>
      <c r="I795" s="20">
        <v>35.03</v>
      </c>
      <c r="J795" s="20"/>
    </row>
    <row r="796" spans="1:10" x14ac:dyDescent="0.2">
      <c r="A796" s="20" t="str">
        <f>HYPERLINK("https://www.ncbi.nlm.nih.gov/protein/XP_047114780.1?report=genbank&amp;log$=prottop&amp;blast_rank=586&amp;RID=DNNRD06A013","XP_047114780.1")</f>
        <v>XP_047114780.1</v>
      </c>
      <c r="B796" s="45">
        <v>359</v>
      </c>
      <c r="C796" s="20" t="s">
        <v>1190</v>
      </c>
      <c r="D796" s="21" t="s">
        <v>1189</v>
      </c>
      <c r="E796" s="20">
        <v>83.6</v>
      </c>
      <c r="F796" s="20">
        <v>135</v>
      </c>
      <c r="G796" s="22">
        <v>0.7</v>
      </c>
      <c r="H796" s="23">
        <v>2.9999999999999998E-14</v>
      </c>
      <c r="I796" s="20">
        <v>36.94</v>
      </c>
      <c r="J796" s="20"/>
    </row>
    <row r="797" spans="1:10" x14ac:dyDescent="0.2">
      <c r="A797" s="20" t="str">
        <f>HYPERLINK("https://www.ncbi.nlm.nih.gov/protein/XP_012798320.1?report=genbank&amp;log$=prottop&amp;blast_rank=471&amp;RID=DNNRD06A013","XP_012798320.1")</f>
        <v>XP_012798320.1</v>
      </c>
      <c r="B797" s="45">
        <v>306</v>
      </c>
      <c r="C797" s="20" t="s">
        <v>1191</v>
      </c>
      <c r="D797" s="21" t="s">
        <v>1192</v>
      </c>
      <c r="E797" s="20">
        <v>115</v>
      </c>
      <c r="F797" s="20">
        <v>115</v>
      </c>
      <c r="G797" s="22">
        <v>0.74</v>
      </c>
      <c r="H797" s="23">
        <v>6.0000000000000002E-26</v>
      </c>
      <c r="I797" s="20">
        <v>30.15</v>
      </c>
      <c r="J797" s="20"/>
    </row>
    <row r="798" spans="1:10" x14ac:dyDescent="0.2">
      <c r="A798" s="20" t="str">
        <f>HYPERLINK("https://www.ncbi.nlm.nih.gov/protein/XP_018649895.1?report=genbank&amp;log$=prottop&amp;blast_rank=477&amp;RID=DNNRD06A013","XP_018649895.1")</f>
        <v>XP_018649895.1</v>
      </c>
      <c r="B798" s="45">
        <v>301</v>
      </c>
      <c r="C798" s="20" t="s">
        <v>1193</v>
      </c>
      <c r="D798" s="21" t="s">
        <v>1194</v>
      </c>
      <c r="E798" s="20">
        <v>112</v>
      </c>
      <c r="F798" s="20">
        <v>112</v>
      </c>
      <c r="G798" s="22">
        <v>0.74</v>
      </c>
      <c r="H798" s="23">
        <v>4.9999999999999996E-25</v>
      </c>
      <c r="I798" s="20">
        <v>29.41</v>
      </c>
      <c r="J798" s="20"/>
    </row>
    <row r="799" spans="1:10" x14ac:dyDescent="0.2">
      <c r="A799" s="20" t="str">
        <f>HYPERLINK("https://www.ncbi.nlm.nih.gov/protein/XP_030750888.1?report=genbank&amp;log$=prottop&amp;blast_rank=552&amp;RID=DNNRD06A013","XP_030750888.1")</f>
        <v>XP_030750888.1</v>
      </c>
      <c r="B799" s="45">
        <v>337</v>
      </c>
      <c r="C799" s="20" t="s">
        <v>1195</v>
      </c>
      <c r="D799" s="21" t="s">
        <v>1196</v>
      </c>
      <c r="E799" s="20">
        <v>88.6</v>
      </c>
      <c r="F799" s="20">
        <v>88.6</v>
      </c>
      <c r="G799" s="22">
        <v>0.48</v>
      </c>
      <c r="H799" s="23">
        <v>3.9999999999999999E-16</v>
      </c>
      <c r="I799" s="20">
        <v>35.26</v>
      </c>
      <c r="J799" s="20"/>
    </row>
    <row r="800" spans="1:10" x14ac:dyDescent="0.2">
      <c r="A800" s="20" t="str">
        <f>HYPERLINK("https://www.ncbi.nlm.nih.gov/protein/XP_030750889.1?report=genbank&amp;log$=prottop&amp;blast_rank=551&amp;RID=DNNRD06A013","XP_030750889.1")</f>
        <v>XP_030750889.1</v>
      </c>
      <c r="B800" s="45">
        <v>322</v>
      </c>
      <c r="C800" s="20" t="s">
        <v>1197</v>
      </c>
      <c r="D800" s="21" t="s">
        <v>1196</v>
      </c>
      <c r="E800" s="20">
        <v>88.6</v>
      </c>
      <c r="F800" s="20">
        <v>88.6</v>
      </c>
      <c r="G800" s="22">
        <v>0.48</v>
      </c>
      <c r="H800" s="23">
        <v>2.9999999999999999E-16</v>
      </c>
      <c r="I800" s="20">
        <v>35.26</v>
      </c>
      <c r="J800" s="20"/>
    </row>
    <row r="801" spans="1:10" x14ac:dyDescent="0.2">
      <c r="A801" s="20" t="str">
        <f>HYPERLINK("https://www.ncbi.nlm.nih.gov/protein/XP_004606578.1?report=genbank&amp;log$=prottop&amp;blast_rank=342&amp;RID=DNNRD06A013","XP_004606578.1")</f>
        <v>XP_004606578.1</v>
      </c>
      <c r="B801" s="45">
        <v>236</v>
      </c>
      <c r="C801" s="20" t="s">
        <v>1198</v>
      </c>
      <c r="D801" s="21" t="s">
        <v>1199</v>
      </c>
      <c r="E801" s="20">
        <v>150</v>
      </c>
      <c r="F801" s="20">
        <v>150</v>
      </c>
      <c r="G801" s="22">
        <v>0.71</v>
      </c>
      <c r="H801" s="23">
        <v>4.9999999999999996E-40</v>
      </c>
      <c r="I801" s="20">
        <v>46.26</v>
      </c>
      <c r="J801" s="20"/>
    </row>
    <row r="802" spans="1:10" x14ac:dyDescent="0.2">
      <c r="A802" s="20" t="str">
        <f>HYPERLINK("https://www.ncbi.nlm.nih.gov/protein/XP_004615332.1?report=genbank&amp;log$=prottop&amp;blast_rank=108&amp;RID=DNNRD06A013","XP_004615332.1")</f>
        <v>XP_004615332.1</v>
      </c>
      <c r="B802" s="45">
        <v>315</v>
      </c>
      <c r="C802" s="20" t="s">
        <v>1200</v>
      </c>
      <c r="D802" s="21" t="s">
        <v>1199</v>
      </c>
      <c r="E802" s="20">
        <v>385</v>
      </c>
      <c r="F802" s="20">
        <v>385</v>
      </c>
      <c r="G802" s="22">
        <v>1</v>
      </c>
      <c r="H802" s="23">
        <v>2E-131</v>
      </c>
      <c r="I802" s="20">
        <v>78.41</v>
      </c>
      <c r="J802" s="20"/>
    </row>
    <row r="803" spans="1:10" x14ac:dyDescent="0.2">
      <c r="A803" s="20" t="str">
        <f>HYPERLINK("https://www.ncbi.nlm.nih.gov/protein/XP_048343657.1?report=genbank&amp;log$=prottop&amp;blast_rank=246&amp;RID=DNNRD06A013","XP_048343657.1")</f>
        <v>XP_048343657.1</v>
      </c>
      <c r="B803" s="45">
        <v>229</v>
      </c>
      <c r="C803" s="20" t="s">
        <v>1201</v>
      </c>
      <c r="D803" s="21" t="s">
        <v>1202</v>
      </c>
      <c r="E803" s="20">
        <v>154</v>
      </c>
      <c r="F803" s="20">
        <v>154</v>
      </c>
      <c r="G803" s="22">
        <v>0.71</v>
      </c>
      <c r="H803" s="23">
        <v>6.0000000000000005E-42</v>
      </c>
      <c r="I803" s="20">
        <v>42.92</v>
      </c>
      <c r="J803" s="20"/>
    </row>
    <row r="804" spans="1:10" x14ac:dyDescent="0.2">
      <c r="A804" s="20" t="str">
        <f>HYPERLINK("https://www.ncbi.nlm.nih.gov/protein/XP_048345595.1?report=genbank&amp;log$=prottop&amp;blast_rank=201&amp;RID=DNNRD06A013","XP_048345595.1")</f>
        <v>XP_048345595.1</v>
      </c>
      <c r="B804" s="45">
        <v>330</v>
      </c>
      <c r="C804" s="20" t="s">
        <v>1203</v>
      </c>
      <c r="D804" s="21" t="s">
        <v>1202</v>
      </c>
      <c r="E804" s="20">
        <v>195</v>
      </c>
      <c r="F804" s="20">
        <v>195</v>
      </c>
      <c r="G804" s="22">
        <v>0.72</v>
      </c>
      <c r="H804" s="23">
        <v>2.0000000000000001E-56</v>
      </c>
      <c r="I804" s="20">
        <v>45.49</v>
      </c>
      <c r="J804" s="20"/>
    </row>
    <row r="805" spans="1:10" x14ac:dyDescent="0.2">
      <c r="A805" s="20" t="str">
        <f>HYPERLINK("https://www.ncbi.nlm.nih.gov/protein/XP_035451464.1?report=genbank&amp;log$=prottop&amp;blast_rank=579&amp;RID=DNNRD06A013","XP_035451464.1")</f>
        <v>XP_035451464.1</v>
      </c>
      <c r="B805" s="45">
        <v>317</v>
      </c>
      <c r="C805" s="20" t="s">
        <v>1204</v>
      </c>
      <c r="D805" s="21" t="s">
        <v>1205</v>
      </c>
      <c r="E805" s="20">
        <v>84.3</v>
      </c>
      <c r="F805" s="20">
        <v>84.3</v>
      </c>
      <c r="G805" s="22">
        <v>0.5</v>
      </c>
      <c r="H805" s="23">
        <v>1E-14</v>
      </c>
      <c r="I805" s="20">
        <v>35.619999999999997</v>
      </c>
      <c r="J805" s="20"/>
    </row>
    <row r="806" spans="1:10" x14ac:dyDescent="0.2">
      <c r="A806" s="20" t="str">
        <f>HYPERLINK("https://www.ncbi.nlm.nih.gov/protein/XP_035443472.1?report=genbank&amp;log$=prottop&amp;blast_rank=697&amp;RID=DNNRD06A013","XP_035443472.1")</f>
        <v>XP_035443472.1</v>
      </c>
      <c r="B806" s="45">
        <v>206</v>
      </c>
      <c r="C806" s="20" t="s">
        <v>1206</v>
      </c>
      <c r="D806" s="21" t="s">
        <v>1205</v>
      </c>
      <c r="E806" s="20">
        <v>70.099999999999994</v>
      </c>
      <c r="F806" s="20">
        <v>70.099999999999994</v>
      </c>
      <c r="G806" s="22">
        <v>0.71</v>
      </c>
      <c r="H806" s="23">
        <v>2.0000000000000001E-10</v>
      </c>
      <c r="I806" s="20">
        <v>27.83</v>
      </c>
      <c r="J806" s="20"/>
    </row>
    <row r="807" spans="1:10" x14ac:dyDescent="0.2">
      <c r="A807" s="20" t="str">
        <f>HYPERLINK("https://www.ncbi.nlm.nih.gov/protein/XP_035430183.1?report=genbank&amp;log$=prottop&amp;blast_rank=891&amp;RID=DNNRD06A013","XP_035430183.1")</f>
        <v>XP_035430183.1</v>
      </c>
      <c r="B807" s="45">
        <v>206</v>
      </c>
      <c r="C807" s="20" t="s">
        <v>1206</v>
      </c>
      <c r="D807" s="21" t="s">
        <v>1205</v>
      </c>
      <c r="E807" s="20">
        <v>48.9</v>
      </c>
      <c r="F807" s="20">
        <v>48.9</v>
      </c>
      <c r="G807" s="22">
        <v>0.33</v>
      </c>
      <c r="H807" s="20">
        <v>6.0000000000000001E-3</v>
      </c>
      <c r="I807" s="20">
        <v>26.67</v>
      </c>
      <c r="J807" s="20"/>
    </row>
    <row r="808" spans="1:10" x14ac:dyDescent="0.2">
      <c r="A808" s="20" t="str">
        <f>HYPERLINK("https://www.ncbi.nlm.nih.gov/protein/XP_035445133.1?report=genbank&amp;log$=prottop&amp;blast_rank=889&amp;RID=DNNRD06A013","XP_035445133.1")</f>
        <v>XP_035445133.1</v>
      </c>
      <c r="B808" s="45">
        <v>258</v>
      </c>
      <c r="C808" s="20" t="s">
        <v>1206</v>
      </c>
      <c r="D808" s="21" t="s">
        <v>1205</v>
      </c>
      <c r="E808" s="20">
        <v>49.7</v>
      </c>
      <c r="F808" s="20">
        <v>49.7</v>
      </c>
      <c r="G808" s="22">
        <v>0.5</v>
      </c>
      <c r="H808" s="20">
        <v>4.0000000000000001E-3</v>
      </c>
      <c r="I808" s="20">
        <v>31.25</v>
      </c>
      <c r="J808" s="20"/>
    </row>
    <row r="809" spans="1:10" x14ac:dyDescent="0.2">
      <c r="A809" s="20" t="str">
        <f>HYPERLINK("https://www.ncbi.nlm.nih.gov/protein/XP_035452058.1?report=genbank&amp;log$=prottop&amp;blast_rank=610&amp;RID=DNNRD06A013","XP_035452058.1")</f>
        <v>XP_035452058.1</v>
      </c>
      <c r="B809" s="45">
        <v>288</v>
      </c>
      <c r="C809" s="20" t="s">
        <v>1206</v>
      </c>
      <c r="D809" s="21" t="s">
        <v>1205</v>
      </c>
      <c r="E809" s="20">
        <v>80.5</v>
      </c>
      <c r="F809" s="20">
        <v>80.5</v>
      </c>
      <c r="G809" s="22">
        <v>0.47</v>
      </c>
      <c r="H809" s="23">
        <v>2.0000000000000001E-13</v>
      </c>
      <c r="I809" s="20">
        <v>34.21</v>
      </c>
      <c r="J809" s="20"/>
    </row>
    <row r="810" spans="1:10" x14ac:dyDescent="0.2">
      <c r="A810" s="20" t="str">
        <f>HYPERLINK("https://www.ncbi.nlm.nih.gov/protein/XP_035452542.1?report=genbank&amp;log$=prottop&amp;blast_rank=651&amp;RID=DNNRD06A013","XP_035452542.1")</f>
        <v>XP_035452542.1</v>
      </c>
      <c r="B810" s="45">
        <v>291</v>
      </c>
      <c r="C810" s="20" t="s">
        <v>1206</v>
      </c>
      <c r="D810" s="21" t="s">
        <v>1205</v>
      </c>
      <c r="E810" s="20">
        <v>76.599999999999994</v>
      </c>
      <c r="F810" s="20">
        <v>76.599999999999994</v>
      </c>
      <c r="G810" s="22">
        <v>0.48</v>
      </c>
      <c r="H810" s="23">
        <v>3.9999999999999999E-12</v>
      </c>
      <c r="I810" s="20">
        <v>33.76</v>
      </c>
      <c r="J810" s="20"/>
    </row>
    <row r="811" spans="1:10" x14ac:dyDescent="0.2">
      <c r="A811" s="20" t="str">
        <f>HYPERLINK("https://www.ncbi.nlm.nih.gov/protein/XP_035451475.1?report=genbank&amp;log$=prottop&amp;blast_rank=578&amp;RID=DNNRD06A013","XP_035451475.1")</f>
        <v>XP_035451475.1</v>
      </c>
      <c r="B811" s="45">
        <v>317</v>
      </c>
      <c r="C811" s="20" t="s">
        <v>1207</v>
      </c>
      <c r="D811" s="21" t="s">
        <v>1205</v>
      </c>
      <c r="E811" s="20">
        <v>84.3</v>
      </c>
      <c r="F811" s="20">
        <v>84.3</v>
      </c>
      <c r="G811" s="22">
        <v>0.5</v>
      </c>
      <c r="H811" s="23">
        <v>1E-14</v>
      </c>
      <c r="I811" s="20">
        <v>35.619999999999997</v>
      </c>
      <c r="J811" s="20"/>
    </row>
    <row r="812" spans="1:10" x14ac:dyDescent="0.2">
      <c r="A812" s="20" t="str">
        <f>HYPERLINK("https://www.ncbi.nlm.nih.gov/protein/XP_022828501.1?report=genbank&amp;log$=prottop&amp;blast_rank=607&amp;RID=DNNRD06A013","XP_022828501.1")</f>
        <v>XP_022828501.1</v>
      </c>
      <c r="B812" s="45">
        <v>316</v>
      </c>
      <c r="C812" s="20" t="s">
        <v>1208</v>
      </c>
      <c r="D812" s="21" t="s">
        <v>1209</v>
      </c>
      <c r="E812" s="20">
        <v>81.3</v>
      </c>
      <c r="F812" s="20">
        <v>81.3</v>
      </c>
      <c r="G812" s="22">
        <v>0.48</v>
      </c>
      <c r="H812" s="23">
        <v>1E-13</v>
      </c>
      <c r="I812" s="20">
        <v>37.42</v>
      </c>
      <c r="J812" s="20"/>
    </row>
    <row r="813" spans="1:10" x14ac:dyDescent="0.2">
      <c r="A813" s="20" t="str">
        <f>HYPERLINK("https://www.ncbi.nlm.nih.gov/protein/XP_022829719.1?report=genbank&amp;log$=prottop&amp;blast_rank=858&amp;RID=DNNRD06A013","XP_022829719.1")</f>
        <v>XP_022829719.1</v>
      </c>
      <c r="B813" s="45">
        <v>212</v>
      </c>
      <c r="C813" s="20" t="s">
        <v>1210</v>
      </c>
      <c r="D813" s="21" t="s">
        <v>1209</v>
      </c>
      <c r="E813" s="20">
        <v>54.3</v>
      </c>
      <c r="F813" s="20">
        <v>54.3</v>
      </c>
      <c r="G813" s="22">
        <v>0.37</v>
      </c>
      <c r="H813" s="23">
        <v>8.0000000000000007E-5</v>
      </c>
      <c r="I813" s="20">
        <v>27.48</v>
      </c>
      <c r="J813" s="20"/>
    </row>
    <row r="814" spans="1:10" x14ac:dyDescent="0.2">
      <c r="A814" s="20" t="str">
        <f>HYPERLINK("https://www.ncbi.nlm.nih.gov/protein/XP_022824661.1?report=genbank&amp;log$=prottop&amp;blast_rank=780&amp;RID=DNNRD06A013","XP_022824661.1")</f>
        <v>XP_022824661.1</v>
      </c>
      <c r="B814" s="45">
        <v>246</v>
      </c>
      <c r="C814" s="20" t="s">
        <v>1210</v>
      </c>
      <c r="D814" s="21" t="s">
        <v>1209</v>
      </c>
      <c r="E814" s="20">
        <v>60.1</v>
      </c>
      <c r="F814" s="20">
        <v>60.1</v>
      </c>
      <c r="G814" s="22">
        <v>0.67</v>
      </c>
      <c r="H814" s="23">
        <v>9.9999999999999995E-7</v>
      </c>
      <c r="I814" s="20">
        <v>25.51</v>
      </c>
      <c r="J814" s="20"/>
    </row>
    <row r="815" spans="1:10" x14ac:dyDescent="0.2">
      <c r="A815" s="20" t="str">
        <f>HYPERLINK("https://www.ncbi.nlm.nih.gov/protein/XP_022830327.1?report=genbank&amp;log$=prottop&amp;blast_rank=893&amp;RID=DNNRD06A013","XP_022830327.1")</f>
        <v>XP_022830327.1</v>
      </c>
      <c r="B815" s="45">
        <v>256</v>
      </c>
      <c r="C815" s="20" t="s">
        <v>1210</v>
      </c>
      <c r="D815" s="21" t="s">
        <v>1209</v>
      </c>
      <c r="E815" s="20">
        <v>49.3</v>
      </c>
      <c r="F815" s="20">
        <v>49.3</v>
      </c>
      <c r="G815" s="22">
        <v>0.48</v>
      </c>
      <c r="H815" s="20">
        <v>6.0000000000000001E-3</v>
      </c>
      <c r="I815" s="20">
        <v>29.87</v>
      </c>
      <c r="J815" s="20"/>
    </row>
    <row r="816" spans="1:10" x14ac:dyDescent="0.2">
      <c r="A816" s="20" t="str">
        <f>HYPERLINK("https://www.ncbi.nlm.nih.gov/protein/XP_022818522.1?report=genbank&amp;log$=prottop&amp;blast_rank=677&amp;RID=DNNRD06A013","XP_022818522.1")</f>
        <v>XP_022818522.1</v>
      </c>
      <c r="B816" s="45">
        <v>330</v>
      </c>
      <c r="C816" s="20" t="s">
        <v>1211</v>
      </c>
      <c r="D816" s="21" t="s">
        <v>1209</v>
      </c>
      <c r="E816" s="20">
        <v>74.7</v>
      </c>
      <c r="F816" s="20">
        <v>74.7</v>
      </c>
      <c r="G816" s="22">
        <v>0.48</v>
      </c>
      <c r="H816" s="23">
        <v>3E-11</v>
      </c>
      <c r="I816" s="20">
        <v>34.42</v>
      </c>
      <c r="J816" s="20"/>
    </row>
    <row r="817" spans="1:10" x14ac:dyDescent="0.2">
      <c r="A817" s="20" t="str">
        <f>HYPERLINK("https://www.ncbi.nlm.nih.gov/protein/XP_035211838.1?report=genbank&amp;log$=prottop&amp;blast_rank=450&amp;RID=DNNRD06A013","XP_035211838.1")</f>
        <v>XP_035211838.1</v>
      </c>
      <c r="B817" s="45">
        <v>319</v>
      </c>
      <c r="C817" s="20" t="s">
        <v>1212</v>
      </c>
      <c r="D817" s="21" t="s">
        <v>1213</v>
      </c>
      <c r="E817" s="20">
        <v>126</v>
      </c>
      <c r="F817" s="20">
        <v>126</v>
      </c>
      <c r="G817" s="22">
        <v>0.71</v>
      </c>
      <c r="H817" s="23">
        <v>2.9999999999999999E-30</v>
      </c>
      <c r="I817" s="20">
        <v>34.75</v>
      </c>
      <c r="J817" s="20"/>
    </row>
    <row r="818" spans="1:10" x14ac:dyDescent="0.2">
      <c r="A818" s="20" t="str">
        <f>HYPERLINK("https://www.ncbi.nlm.nih.gov/protein/XP_035209122.1?report=genbank&amp;log$=prottop&amp;blast_rank=566&amp;RID=DNNRD06A013","XP_035209122.1")</f>
        <v>XP_035209122.1</v>
      </c>
      <c r="B818" s="45">
        <v>406</v>
      </c>
      <c r="C818" s="20" t="s">
        <v>1212</v>
      </c>
      <c r="D818" s="21" t="s">
        <v>1213</v>
      </c>
      <c r="E818" s="20">
        <v>86.3</v>
      </c>
      <c r="F818" s="20">
        <v>146</v>
      </c>
      <c r="G818" s="22">
        <v>0.71</v>
      </c>
      <c r="H818" s="23">
        <v>4.0000000000000003E-15</v>
      </c>
      <c r="I818" s="20">
        <v>33.17</v>
      </c>
      <c r="J818" s="20"/>
    </row>
    <row r="819" spans="1:10" x14ac:dyDescent="0.2">
      <c r="A819" s="20" t="str">
        <f>HYPERLINK("https://www.ncbi.nlm.nih.gov/protein/XP_013106408.1?report=genbank&amp;log$=prottop&amp;blast_rank=878&amp;RID=DNNRD06A013","XP_013106408.1")</f>
        <v>XP_013106408.1</v>
      </c>
      <c r="B819" s="45">
        <v>345</v>
      </c>
      <c r="C819" s="20" t="s">
        <v>1214</v>
      </c>
      <c r="D819" s="21" t="s">
        <v>1215</v>
      </c>
      <c r="E819" s="20">
        <v>52.4</v>
      </c>
      <c r="F819" s="20">
        <v>52.4</v>
      </c>
      <c r="G819" s="22">
        <v>0.63</v>
      </c>
      <c r="H819" s="23">
        <v>8.0000000000000004E-4</v>
      </c>
      <c r="I819" s="20">
        <v>26.03</v>
      </c>
      <c r="J819" s="20"/>
    </row>
    <row r="820" spans="1:10" x14ac:dyDescent="0.2">
      <c r="A820" s="20" t="str">
        <f>HYPERLINK("https://www.ncbi.nlm.nih.gov/protein/XP_011670344.2?report=genbank&amp;log$=prottop&amp;blast_rank=752&amp;RID=DNNRD06A013","XP_011670344.2")</f>
        <v>XP_011670344.2</v>
      </c>
      <c r="B820" s="45">
        <v>433</v>
      </c>
      <c r="C820" s="20" t="s">
        <v>1216</v>
      </c>
      <c r="D820" s="21" t="s">
        <v>1217</v>
      </c>
      <c r="E820" s="20">
        <v>65.5</v>
      </c>
      <c r="F820" s="20">
        <v>122</v>
      </c>
      <c r="G820" s="22">
        <v>0.57999999999999996</v>
      </c>
      <c r="H820" s="23">
        <v>4.9999999999999998E-8</v>
      </c>
      <c r="I820" s="20">
        <v>35.340000000000003</v>
      </c>
      <c r="J820" s="20"/>
    </row>
    <row r="821" spans="1:10" x14ac:dyDescent="0.2">
      <c r="A821" s="20" t="str">
        <f>HYPERLINK("https://www.ncbi.nlm.nih.gov/protein/XP_011670342.2?report=genbank&amp;log$=prottop&amp;blast_rank=467&amp;RID=DNNRD06A013","XP_011670342.2")</f>
        <v>XP_011670342.2</v>
      </c>
      <c r="B821" s="45">
        <v>303</v>
      </c>
      <c r="C821" s="20" t="s">
        <v>1218</v>
      </c>
      <c r="D821" s="21" t="s">
        <v>1217</v>
      </c>
      <c r="E821" s="20">
        <v>117</v>
      </c>
      <c r="F821" s="20">
        <v>117</v>
      </c>
      <c r="G821" s="22">
        <v>0.71</v>
      </c>
      <c r="H821" s="23">
        <v>7.0000000000000003E-27</v>
      </c>
      <c r="I821" s="20">
        <v>30.11</v>
      </c>
      <c r="J821" s="20"/>
    </row>
    <row r="822" spans="1:10" x14ac:dyDescent="0.2">
      <c r="A822" s="20" t="str">
        <f>HYPERLINK("https://www.ncbi.nlm.nih.gov/protein/XP_030853094.1?report=genbank&amp;log$=prottop&amp;blast_rank=729&amp;RID=DNNRD06A013","XP_030853094.1")</f>
        <v>XP_030853094.1</v>
      </c>
      <c r="B822" s="45">
        <v>357</v>
      </c>
      <c r="C822" s="20" t="s">
        <v>1219</v>
      </c>
      <c r="D822" s="21" t="s">
        <v>1217</v>
      </c>
      <c r="E822" s="20">
        <v>68.2</v>
      </c>
      <c r="F822" s="20">
        <v>129</v>
      </c>
      <c r="G822" s="22">
        <v>0.51</v>
      </c>
      <c r="H822" s="23">
        <v>5.0000000000000001E-9</v>
      </c>
      <c r="I822" s="20">
        <v>41</v>
      </c>
      <c r="J822" s="20"/>
    </row>
    <row r="823" spans="1:10" x14ac:dyDescent="0.2">
      <c r="A823" s="20" t="str">
        <f>HYPERLINK("https://www.ncbi.nlm.nih.gov/protein/XP_030853095.1?report=genbank&amp;log$=prottop&amp;blast_rank=570&amp;RID=DNNRD06A013","XP_030853095.1")</f>
        <v>XP_030853095.1</v>
      </c>
      <c r="B823" s="45">
        <v>875</v>
      </c>
      <c r="C823" s="20" t="s">
        <v>1220</v>
      </c>
      <c r="D823" s="21" t="s">
        <v>1217</v>
      </c>
      <c r="E823" s="20">
        <v>86.7</v>
      </c>
      <c r="F823" s="20">
        <v>274</v>
      </c>
      <c r="G823" s="22">
        <v>0.67</v>
      </c>
      <c r="H823" s="23">
        <v>7.0000000000000001E-15</v>
      </c>
      <c r="I823" s="20">
        <v>35.619999999999997</v>
      </c>
      <c r="J823" s="20"/>
    </row>
    <row r="824" spans="1:10" x14ac:dyDescent="0.2">
      <c r="A824" s="20" t="str">
        <f>HYPERLINK("https://www.ncbi.nlm.nih.gov/protein/XP_036915126.1?report=genbank&amp;log$=prottop&amp;blast_rank=399&amp;RID=DNNRD06A013","XP_036915126.1")</f>
        <v>XP_036915126.1</v>
      </c>
      <c r="B824" s="45">
        <v>236</v>
      </c>
      <c r="C824" s="20" t="s">
        <v>1221</v>
      </c>
      <c r="D824" s="21" t="s">
        <v>1222</v>
      </c>
      <c r="E824" s="20">
        <v>145</v>
      </c>
      <c r="F824" s="20">
        <v>145</v>
      </c>
      <c r="G824" s="22">
        <v>0.7</v>
      </c>
      <c r="H824" s="23">
        <v>2.9999999999999999E-38</v>
      </c>
      <c r="I824" s="20">
        <v>44.39</v>
      </c>
      <c r="J824" s="20"/>
    </row>
    <row r="825" spans="1:10" x14ac:dyDescent="0.2">
      <c r="A825" s="20" t="str">
        <f>HYPERLINK("https://www.ncbi.nlm.nih.gov/protein/XP_036905712.1?report=genbank&amp;log$=prottop&amp;blast_rank=97&amp;RID=DNNRD06A013","XP_036905712.1")</f>
        <v>XP_036905712.1</v>
      </c>
      <c r="B825" s="45">
        <v>314</v>
      </c>
      <c r="C825" s="20" t="s">
        <v>1223</v>
      </c>
      <c r="D825" s="21" t="s">
        <v>1222</v>
      </c>
      <c r="E825" s="20">
        <v>391</v>
      </c>
      <c r="F825" s="20">
        <v>391</v>
      </c>
      <c r="G825" s="22">
        <v>1</v>
      </c>
      <c r="H825" s="23">
        <v>2.0000000000000001E-133</v>
      </c>
      <c r="I825" s="20">
        <v>80.89</v>
      </c>
      <c r="J825" s="20"/>
    </row>
    <row r="826" spans="1:10" x14ac:dyDescent="0.2">
      <c r="A826" s="20" t="str">
        <f>HYPERLINK("https://www.ncbi.nlm.nih.gov/protein/XP_039263230.1?report=genbank&amp;log$=prottop&amp;blast_rank=770&amp;RID=DNNRD06A013","XP_039263230.1")</f>
        <v>XP_039263230.1</v>
      </c>
      <c r="B826" s="45">
        <v>167</v>
      </c>
      <c r="C826" s="20" t="s">
        <v>1224</v>
      </c>
      <c r="D826" s="21" t="s">
        <v>1225</v>
      </c>
      <c r="E826" s="20">
        <v>60.5</v>
      </c>
      <c r="F826" s="20">
        <v>60.5</v>
      </c>
      <c r="G826" s="22">
        <v>0.46</v>
      </c>
      <c r="H826" s="23">
        <v>2.9999999999999999E-7</v>
      </c>
      <c r="I826" s="20">
        <v>27.21</v>
      </c>
      <c r="J826" s="20"/>
    </row>
    <row r="827" spans="1:10" x14ac:dyDescent="0.2">
      <c r="A827" s="20" t="str">
        <f>HYPERLINK("https://www.ncbi.nlm.nih.gov/protein/XP_039247993.1?report=genbank&amp;log$=prottop&amp;blast_rank=555&amp;RID=DNNRD06A013","XP_039247993.1")</f>
        <v>XP_039247993.1</v>
      </c>
      <c r="B827" s="45">
        <v>276</v>
      </c>
      <c r="C827" s="20" t="s">
        <v>1224</v>
      </c>
      <c r="D827" s="21" t="s">
        <v>1225</v>
      </c>
      <c r="E827" s="20">
        <v>87.4</v>
      </c>
      <c r="F827" s="20">
        <v>87.4</v>
      </c>
      <c r="G827" s="22">
        <v>0.71</v>
      </c>
      <c r="H827" s="23">
        <v>5.0000000000000004E-16</v>
      </c>
      <c r="I827" s="20">
        <v>29.06</v>
      </c>
      <c r="J827" s="20"/>
    </row>
    <row r="828" spans="1:10" x14ac:dyDescent="0.2">
      <c r="A828" s="20" t="str">
        <f>HYPERLINK("https://www.ncbi.nlm.nih.gov/protein/XP_039263029.1?report=genbank&amp;log$=prottop&amp;blast_rank=545&amp;RID=DNNRD06A013","XP_039263029.1")</f>
        <v>XP_039263029.1</v>
      </c>
      <c r="B828" s="45">
        <v>328</v>
      </c>
      <c r="C828" s="20" t="s">
        <v>1224</v>
      </c>
      <c r="D828" s="21" t="s">
        <v>1225</v>
      </c>
      <c r="E828" s="20">
        <v>90.9</v>
      </c>
      <c r="F828" s="20">
        <v>90.9</v>
      </c>
      <c r="G828" s="22">
        <v>0.69</v>
      </c>
      <c r="H828" s="23">
        <v>6.0000000000000001E-17</v>
      </c>
      <c r="I828" s="20">
        <v>28.51</v>
      </c>
      <c r="J828" s="20"/>
    </row>
    <row r="829" spans="1:10" x14ac:dyDescent="0.2">
      <c r="A829" s="20" t="str">
        <f>HYPERLINK("https://www.ncbi.nlm.nih.gov/protein/XP_039256974.1?report=genbank&amp;log$=prottop&amp;blast_rank=524&amp;RID=DNNRD06A013","XP_039256974.1")</f>
        <v>XP_039256974.1</v>
      </c>
      <c r="B829" s="45">
        <v>475</v>
      </c>
      <c r="C829" s="20" t="s">
        <v>1226</v>
      </c>
      <c r="D829" s="21" t="s">
        <v>1225</v>
      </c>
      <c r="E829" s="20">
        <v>98.2</v>
      </c>
      <c r="F829" s="20">
        <v>160</v>
      </c>
      <c r="G829" s="22">
        <v>0.68</v>
      </c>
      <c r="H829" s="23">
        <v>5.0000000000000004E-19</v>
      </c>
      <c r="I829" s="20">
        <v>31.96</v>
      </c>
      <c r="J829" s="20"/>
    </row>
    <row r="830" spans="1:10" x14ac:dyDescent="0.2">
      <c r="A830" s="20" t="str">
        <f>HYPERLINK("https://www.ncbi.nlm.nih.gov/protein/XP_022791193.1?report=genbank&amp;log$=prottop&amp;blast_rank=521&amp;RID=DNNRD06A013","XP_022791193.1")</f>
        <v>XP_022791193.1</v>
      </c>
      <c r="B830" s="45">
        <v>285</v>
      </c>
      <c r="C830" s="20" t="s">
        <v>1227</v>
      </c>
      <c r="D830" s="21" t="s">
        <v>1228</v>
      </c>
      <c r="E830" s="20">
        <v>96.7</v>
      </c>
      <c r="F830" s="20">
        <v>96.7</v>
      </c>
      <c r="G830" s="22">
        <v>0.67</v>
      </c>
      <c r="H830" s="23">
        <v>2E-19</v>
      </c>
      <c r="I830" s="20">
        <v>33.479999999999997</v>
      </c>
      <c r="J830" s="20"/>
    </row>
    <row r="831" spans="1:10" x14ac:dyDescent="0.2">
      <c r="A831" s="20" t="str">
        <f>HYPERLINK("https://www.ncbi.nlm.nih.gov/protein/WP_162083939.1?report=genbank&amp;log$=prottop&amp;blast_rank=836&amp;RID=DNNRD06A013","WP_162083939.1")</f>
        <v>WP_162083939.1</v>
      </c>
      <c r="B831" s="45">
        <v>243</v>
      </c>
      <c r="C831" s="20" t="s">
        <v>1229</v>
      </c>
      <c r="D831" s="21" t="s">
        <v>1230</v>
      </c>
      <c r="E831" s="20">
        <v>56.6</v>
      </c>
      <c r="F831" s="20">
        <v>56.6</v>
      </c>
      <c r="G831" s="22">
        <v>0.45</v>
      </c>
      <c r="H831" s="23">
        <v>2.0000000000000002E-5</v>
      </c>
      <c r="I831" s="20">
        <v>33.56</v>
      </c>
      <c r="J831" s="20"/>
    </row>
    <row r="832" spans="1:10" x14ac:dyDescent="0.2">
      <c r="A832" s="20" t="str">
        <f>HYPERLINK("https://www.ncbi.nlm.nih.gov/protein/XP_029785916.1?report=genbank&amp;log$=prottop&amp;blast_rank=317&amp;RID=DNNRD06A013","XP_029785916.1")</f>
        <v>XP_029785916.1</v>
      </c>
      <c r="B832" s="45">
        <v>236</v>
      </c>
      <c r="C832" s="20" t="s">
        <v>1231</v>
      </c>
      <c r="D832" s="21" t="s">
        <v>1232</v>
      </c>
      <c r="E832" s="20">
        <v>151</v>
      </c>
      <c r="F832" s="20">
        <v>151</v>
      </c>
      <c r="G832" s="22">
        <v>0.7</v>
      </c>
      <c r="H832" s="23">
        <v>9.9999999999999993E-41</v>
      </c>
      <c r="I832" s="20">
        <v>46.46</v>
      </c>
      <c r="J832" s="20"/>
    </row>
    <row r="833" spans="1:10" x14ac:dyDescent="0.2">
      <c r="A833" s="20" t="str">
        <f>HYPERLINK("https://www.ncbi.nlm.nih.gov/protein/XP_029775003.1?report=genbank&amp;log$=prottop&amp;blast_rank=86&amp;RID=DNNRD06A013","XP_029775003.1")</f>
        <v>XP_029775003.1</v>
      </c>
      <c r="B833" s="45">
        <v>314</v>
      </c>
      <c r="C833" s="20" t="s">
        <v>1233</v>
      </c>
      <c r="D833" s="21" t="s">
        <v>1232</v>
      </c>
      <c r="E833" s="20">
        <v>394</v>
      </c>
      <c r="F833" s="20">
        <v>394</v>
      </c>
      <c r="G833" s="22">
        <v>1</v>
      </c>
      <c r="H833" s="23">
        <v>1E-134</v>
      </c>
      <c r="I833" s="20">
        <v>81.849999999999994</v>
      </c>
      <c r="J833" s="20"/>
    </row>
    <row r="834" spans="1:10" x14ac:dyDescent="0.2">
      <c r="A834" s="20" t="str">
        <f>HYPERLINK("https://www.ncbi.nlm.nih.gov/protein/XP_020935615.1?report=genbank&amp;log$=prottop&amp;blast_rank=363&amp;RID=DNNRD06A013","XP_020935615.1")</f>
        <v>XP_020935615.1</v>
      </c>
      <c r="B834" s="45">
        <v>236</v>
      </c>
      <c r="C834" s="20" t="s">
        <v>1234</v>
      </c>
      <c r="D834" s="21" t="s">
        <v>1235</v>
      </c>
      <c r="E834" s="20">
        <v>149</v>
      </c>
      <c r="F834" s="20">
        <v>149</v>
      </c>
      <c r="G834" s="22">
        <v>0.7</v>
      </c>
      <c r="H834" s="23">
        <v>7.9999999999999994E-40</v>
      </c>
      <c r="I834" s="20">
        <v>45.13</v>
      </c>
      <c r="J834" s="20"/>
    </row>
    <row r="835" spans="1:10" x14ac:dyDescent="0.2">
      <c r="A835" s="20" t="str">
        <f>HYPERLINK("https://www.ncbi.nlm.nih.gov/protein/XP_020926287.1?report=genbank&amp;log$=prottop&amp;blast_rank=65&amp;RID=DNNRD06A013","XP_020926287.1")</f>
        <v>XP_020926287.1</v>
      </c>
      <c r="B835" s="45">
        <v>314</v>
      </c>
      <c r="C835" s="20" t="s">
        <v>1236</v>
      </c>
      <c r="D835" s="21" t="s">
        <v>1235</v>
      </c>
      <c r="E835" s="20">
        <v>402</v>
      </c>
      <c r="F835" s="20">
        <v>402</v>
      </c>
      <c r="G835" s="22">
        <v>1</v>
      </c>
      <c r="H835" s="23">
        <v>9.9999999999999998E-138</v>
      </c>
      <c r="I835" s="20">
        <v>82.17</v>
      </c>
      <c r="J835" s="20"/>
    </row>
    <row r="836" spans="1:10" x14ac:dyDescent="0.2">
      <c r="A836" s="20" t="str">
        <f>HYPERLINK("https://www.ncbi.nlm.nih.gov/protein/XP_038604452.1?report=genbank&amp;log$=prottop&amp;blast_rank=215&amp;RID=DNNRD06A013","XP_038604452.1")</f>
        <v>XP_038604452.1</v>
      </c>
      <c r="B836" s="45">
        <v>240</v>
      </c>
      <c r="C836" s="20" t="s">
        <v>1237</v>
      </c>
      <c r="D836" s="21" t="s">
        <v>1238</v>
      </c>
      <c r="E836" s="20">
        <v>160</v>
      </c>
      <c r="F836" s="20">
        <v>160</v>
      </c>
      <c r="G836" s="22">
        <v>0.7</v>
      </c>
      <c r="H836" s="23">
        <v>6.0000000000000005E-44</v>
      </c>
      <c r="I836" s="20">
        <v>42.48</v>
      </c>
      <c r="J836" s="20"/>
    </row>
    <row r="837" spans="1:10" x14ac:dyDescent="0.2">
      <c r="A837" s="20" t="str">
        <f>HYPERLINK("https://www.ncbi.nlm.nih.gov/protein/XP_038595983.1?report=genbank&amp;log$=prottop&amp;blast_rank=196&amp;RID=DNNRD06A013","XP_038595983.1")</f>
        <v>XP_038595983.1</v>
      </c>
      <c r="B837" s="45">
        <v>335</v>
      </c>
      <c r="C837" s="20" t="s">
        <v>1239</v>
      </c>
      <c r="D837" s="21" t="s">
        <v>1238</v>
      </c>
      <c r="E837" s="20">
        <v>243</v>
      </c>
      <c r="F837" s="20">
        <v>243</v>
      </c>
      <c r="G837" s="22">
        <v>0.71</v>
      </c>
      <c r="H837" s="23">
        <v>5.9999999999999997E-75</v>
      </c>
      <c r="I837" s="20">
        <v>58.44</v>
      </c>
      <c r="J837" s="20"/>
    </row>
    <row r="838" spans="1:10" x14ac:dyDescent="0.2">
      <c r="A838" s="20" t="str">
        <f>HYPERLINK("https://www.ncbi.nlm.nih.gov/protein/XP_038595984.1?report=genbank&amp;log$=prottop&amp;blast_rank=195&amp;RID=DNNRD06A013","XP_038595984.1")</f>
        <v>XP_038595984.1</v>
      </c>
      <c r="B838" s="45">
        <v>316</v>
      </c>
      <c r="C838" s="20" t="s">
        <v>1240</v>
      </c>
      <c r="D838" s="21" t="s">
        <v>1238</v>
      </c>
      <c r="E838" s="20">
        <v>242</v>
      </c>
      <c r="F838" s="20">
        <v>242</v>
      </c>
      <c r="G838" s="22">
        <v>0.71</v>
      </c>
      <c r="H838" s="23">
        <v>5.9999999999999997E-75</v>
      </c>
      <c r="I838" s="20">
        <v>58.77</v>
      </c>
      <c r="J838" s="20"/>
    </row>
    <row r="839" spans="1:10" x14ac:dyDescent="0.2">
      <c r="A839" s="20" t="str">
        <f>HYPERLINK("https://www.ncbi.nlm.nih.gov/protein/XP_037368743.1?report=genbank&amp;log$=prottop&amp;blast_rank=235&amp;RID=DNNRD06A013","XP_037368743.1")</f>
        <v>XP_037368743.1</v>
      </c>
      <c r="B839" s="45">
        <v>236</v>
      </c>
      <c r="C839" s="20" t="s">
        <v>1241</v>
      </c>
      <c r="D839" s="21" t="s">
        <v>1242</v>
      </c>
      <c r="E839" s="20">
        <v>155</v>
      </c>
      <c r="F839" s="20">
        <v>155</v>
      </c>
      <c r="G839" s="22">
        <v>0.7</v>
      </c>
      <c r="H839" s="23">
        <v>3.0000000000000003E-42</v>
      </c>
      <c r="I839" s="20">
        <v>46.46</v>
      </c>
      <c r="J839" s="20"/>
    </row>
    <row r="840" spans="1:10" x14ac:dyDescent="0.2">
      <c r="A840" s="20" t="str">
        <f>HYPERLINK("https://www.ncbi.nlm.nih.gov/protein/XP_037384456.1?report=genbank&amp;log$=prottop&amp;blast_rank=107&amp;RID=DNNRD06A013","XP_037384456.1")</f>
        <v>XP_037384456.1</v>
      </c>
      <c r="B840" s="45">
        <v>313</v>
      </c>
      <c r="C840" s="20" t="s">
        <v>1243</v>
      </c>
      <c r="D840" s="21" t="s">
        <v>1242</v>
      </c>
      <c r="E840" s="20">
        <v>386</v>
      </c>
      <c r="F840" s="20">
        <v>386</v>
      </c>
      <c r="G840" s="22">
        <v>0.99</v>
      </c>
      <c r="H840" s="23">
        <v>2E-131</v>
      </c>
      <c r="I840" s="20">
        <v>80.77</v>
      </c>
      <c r="J840" s="20"/>
    </row>
    <row r="841" spans="1:10" x14ac:dyDescent="0.2">
      <c r="A841" s="20" t="str">
        <f>HYPERLINK("https://www.ncbi.nlm.nih.gov/protein/XP_037961231.1?report=genbank&amp;log$=prottop&amp;blast_rank=766&amp;RID=DNNRD06A013","XP_037961231.1")</f>
        <v>XP_037961231.1</v>
      </c>
      <c r="B841" s="45">
        <v>344</v>
      </c>
      <c r="C841" s="20" t="s">
        <v>1244</v>
      </c>
      <c r="D841" s="21" t="s">
        <v>1245</v>
      </c>
      <c r="E841" s="20">
        <v>62.8</v>
      </c>
      <c r="F841" s="20">
        <v>62.8</v>
      </c>
      <c r="G841" s="22">
        <v>0.48</v>
      </c>
      <c r="H841" s="23">
        <v>2.9999999999999999E-7</v>
      </c>
      <c r="I841" s="20">
        <v>30.52</v>
      </c>
      <c r="J841" s="20"/>
    </row>
    <row r="842" spans="1:10" x14ac:dyDescent="0.2">
      <c r="A842" s="20" t="str">
        <f>HYPERLINK("https://www.ncbi.nlm.nih.gov/protein/XP_024871036.1?report=genbank&amp;log$=prottop&amp;blast_rank=848&amp;RID=DNNRD06A013","XP_024871036.1")</f>
        <v>XP_024871036.1</v>
      </c>
      <c r="B842" s="45">
        <v>322</v>
      </c>
      <c r="C842" s="20" t="s">
        <v>1246</v>
      </c>
      <c r="D842" s="21" t="s">
        <v>1247</v>
      </c>
      <c r="E842" s="20">
        <v>56.6</v>
      </c>
      <c r="F842" s="20">
        <v>56.6</v>
      </c>
      <c r="G842" s="22">
        <v>0.46</v>
      </c>
      <c r="H842" s="23">
        <v>3.0000000000000001E-5</v>
      </c>
      <c r="I842" s="20">
        <v>32.65</v>
      </c>
      <c r="J842" s="20"/>
    </row>
    <row r="843" spans="1:10" x14ac:dyDescent="0.2">
      <c r="A843" s="20" t="str">
        <f>HYPERLINK("https://www.ncbi.nlm.nih.gov/protein/XP_029769837.1?report=genbank&amp;log$=prottop&amp;blast_rank=400&amp;RID=DNNRD06A013","XP_029769837.1")</f>
        <v>XP_029769837.1</v>
      </c>
      <c r="B843" s="45">
        <v>223</v>
      </c>
      <c r="C843" s="20" t="s">
        <v>1248</v>
      </c>
      <c r="D843" s="21" t="s">
        <v>1249</v>
      </c>
      <c r="E843" s="20">
        <v>145</v>
      </c>
      <c r="F843" s="20">
        <v>145</v>
      </c>
      <c r="G843" s="22">
        <v>0.72</v>
      </c>
      <c r="H843" s="23">
        <v>2.9999999999999999E-38</v>
      </c>
      <c r="I843" s="20">
        <v>41.23</v>
      </c>
      <c r="J843" s="20"/>
    </row>
    <row r="844" spans="1:10" x14ac:dyDescent="0.2">
      <c r="A844" s="20" t="str">
        <f>HYPERLINK("https://www.ncbi.nlm.nih.gov/protein/XP_032066707.1?report=genbank&amp;log$=prottop&amp;blast_rank=403&amp;RID=DNNRD06A013","XP_032066707.1")</f>
        <v>XP_032066707.1</v>
      </c>
      <c r="B844" s="45">
        <v>224</v>
      </c>
      <c r="C844" s="20" t="s">
        <v>1250</v>
      </c>
      <c r="D844" s="21" t="s">
        <v>1251</v>
      </c>
      <c r="E844" s="20">
        <v>144</v>
      </c>
      <c r="F844" s="20">
        <v>144</v>
      </c>
      <c r="G844" s="22">
        <v>0.7</v>
      </c>
      <c r="H844" s="23">
        <v>3.9999999999999998E-38</v>
      </c>
      <c r="I844" s="20">
        <v>41.44</v>
      </c>
      <c r="J844" s="20"/>
    </row>
    <row r="845" spans="1:10" x14ac:dyDescent="0.2">
      <c r="A845" s="20" t="str">
        <f>HYPERLINK("https://www.ncbi.nlm.nih.gov/protein/XP_013930654.1?report=genbank&amp;log$=prottop&amp;blast_rank=397&amp;RID=DNNRD06A013","XP_013930654.1")</f>
        <v>XP_013930654.1</v>
      </c>
      <c r="B845" s="45">
        <v>224</v>
      </c>
      <c r="C845" s="20" t="s">
        <v>1252</v>
      </c>
      <c r="D845" s="21" t="s">
        <v>1253</v>
      </c>
      <c r="E845" s="20">
        <v>145</v>
      </c>
      <c r="F845" s="20">
        <v>145</v>
      </c>
      <c r="G845" s="22">
        <v>0.7</v>
      </c>
      <c r="H845" s="23">
        <v>1.9999999999999999E-38</v>
      </c>
      <c r="I845" s="20">
        <v>41.44</v>
      </c>
      <c r="J845" s="20"/>
    </row>
    <row r="846" spans="1:10" x14ac:dyDescent="0.2">
      <c r="A846" s="20" t="str">
        <f>HYPERLINK("https://www.ncbi.nlm.nih.gov/protein/XP_025227581.1?report=genbank&amp;log$=prottop&amp;blast_rank=383&amp;RID=DNNRD06A013","XP_025227581.1")</f>
        <v>XP_025227581.1</v>
      </c>
      <c r="B846" s="45">
        <v>275</v>
      </c>
      <c r="C846" s="20" t="s">
        <v>1254</v>
      </c>
      <c r="D846" s="21" t="s">
        <v>1255</v>
      </c>
      <c r="E846" s="20">
        <v>148</v>
      </c>
      <c r="F846" s="20">
        <v>148</v>
      </c>
      <c r="G846" s="22">
        <v>0.7</v>
      </c>
      <c r="H846" s="23">
        <v>4.9999999999999998E-39</v>
      </c>
      <c r="I846" s="20">
        <v>46.02</v>
      </c>
      <c r="J846" s="20"/>
    </row>
    <row r="847" spans="1:10" x14ac:dyDescent="0.2">
      <c r="A847" s="20" t="str">
        <f>HYPERLINK("https://www.ncbi.nlm.nih.gov/protein/XP_025233071.1?report=genbank&amp;log$=prottop&amp;blast_rank=15&amp;RID=DNNRD06A013","XP_025233071.1")</f>
        <v>XP_025233071.1</v>
      </c>
      <c r="B847" s="45">
        <v>314</v>
      </c>
      <c r="C847" s="20" t="s">
        <v>1256</v>
      </c>
      <c r="D847" s="21" t="s">
        <v>1255</v>
      </c>
      <c r="E847" s="20">
        <v>454</v>
      </c>
      <c r="F847" s="20">
        <v>454</v>
      </c>
      <c r="G847" s="22">
        <v>1</v>
      </c>
      <c r="H847" s="23">
        <v>3E-158</v>
      </c>
      <c r="I847" s="20">
        <v>95.54</v>
      </c>
      <c r="J847" s="20"/>
    </row>
    <row r="848" spans="1:10" x14ac:dyDescent="0.2">
      <c r="A848" s="20" t="str">
        <f>HYPERLINK("https://www.ncbi.nlm.nih.gov/protein/XP_025233072.1?report=genbank&amp;log$=prottop&amp;blast_rank=25&amp;RID=DNNRD06A013","XP_025233072.1")</f>
        <v>XP_025233072.1</v>
      </c>
      <c r="B848" s="45">
        <v>304</v>
      </c>
      <c r="C848" s="20" t="s">
        <v>1257</v>
      </c>
      <c r="D848" s="21" t="s">
        <v>1255</v>
      </c>
      <c r="E848" s="20">
        <v>434</v>
      </c>
      <c r="F848" s="20">
        <v>434</v>
      </c>
      <c r="G848" s="22">
        <v>0.96</v>
      </c>
      <c r="H848" s="23">
        <v>7.9999999999999995E-151</v>
      </c>
      <c r="I848" s="20">
        <v>95.39</v>
      </c>
      <c r="J848" s="20"/>
    </row>
    <row r="849" spans="1:10" x14ac:dyDescent="0.2">
      <c r="A849" s="20" t="str">
        <f>HYPERLINK("https://www.ncbi.nlm.nih.gov/protein/XP_034255083.1?report=genbank&amp;log$=prottop&amp;blast_rank=667&amp;RID=DNNRD06A013","XP_034255083.1")</f>
        <v>XP_034255083.1</v>
      </c>
      <c r="B849" s="45">
        <v>311</v>
      </c>
      <c r="C849" s="20" t="s">
        <v>1258</v>
      </c>
      <c r="D849" s="21" t="s">
        <v>1259</v>
      </c>
      <c r="E849" s="20">
        <v>75.5</v>
      </c>
      <c r="F849" s="20">
        <v>75.5</v>
      </c>
      <c r="G849" s="22">
        <v>0.5</v>
      </c>
      <c r="H849" s="23">
        <v>9.9999999999999994E-12</v>
      </c>
      <c r="I849" s="20">
        <v>33.54</v>
      </c>
      <c r="J849" s="20"/>
    </row>
    <row r="850" spans="1:10" x14ac:dyDescent="0.2">
      <c r="A850" s="20" t="str">
        <f>HYPERLINK("https://www.ncbi.nlm.nih.gov/protein/YP_009116711.1?report=genbank&amp;log$=prottop&amp;blast_rank=559&amp;RID=DNNRD06A013","YP_009116711.1")</f>
        <v>YP_009116711.1</v>
      </c>
      <c r="B850" s="45">
        <v>235</v>
      </c>
      <c r="C850" s="20" t="s">
        <v>1260</v>
      </c>
      <c r="D850" s="21" t="s">
        <v>1261</v>
      </c>
      <c r="E850" s="20">
        <v>85.9</v>
      </c>
      <c r="F850" s="20">
        <v>85.9</v>
      </c>
      <c r="G850" s="22">
        <v>0.72</v>
      </c>
      <c r="H850" s="23">
        <v>9.0000000000000003E-16</v>
      </c>
      <c r="I850" s="20">
        <v>29.61</v>
      </c>
      <c r="J850" s="20"/>
    </row>
    <row r="851" spans="1:10" x14ac:dyDescent="0.2">
      <c r="A851" s="20" t="str">
        <f>HYPERLINK("https://www.ncbi.nlm.nih.gov/protein/XP_018366950.1?report=genbank&amp;log$=prottop&amp;blast_rank=866&amp;RID=DNNRD06A013","XP_018366950.1")</f>
        <v>XP_018366950.1</v>
      </c>
      <c r="B851" s="45">
        <v>275</v>
      </c>
      <c r="C851" s="20" t="s">
        <v>1262</v>
      </c>
      <c r="D851" s="21" t="s">
        <v>1263</v>
      </c>
      <c r="E851" s="20">
        <v>54.7</v>
      </c>
      <c r="F851" s="20">
        <v>54.7</v>
      </c>
      <c r="G851" s="22">
        <v>0.46</v>
      </c>
      <c r="H851" s="23">
        <v>1E-4</v>
      </c>
      <c r="I851" s="20">
        <v>31.97</v>
      </c>
      <c r="J851" s="20"/>
    </row>
    <row r="852" spans="1:10" x14ac:dyDescent="0.2">
      <c r="A852" s="20" t="str">
        <f>HYPERLINK("https://www.ncbi.nlm.nih.gov/protein/XP_018356506.1?report=genbank&amp;log$=prottop&amp;blast_rank=882&amp;RID=DNNRD06A013","XP_018356506.1")</f>
        <v>XP_018356506.1</v>
      </c>
      <c r="B852" s="45">
        <v>323</v>
      </c>
      <c r="C852" s="20" t="s">
        <v>1264</v>
      </c>
      <c r="D852" s="21" t="s">
        <v>1265</v>
      </c>
      <c r="E852" s="20">
        <v>51.2</v>
      </c>
      <c r="F852" s="20">
        <v>51.2</v>
      </c>
      <c r="G852" s="22">
        <v>0.46</v>
      </c>
      <c r="H852" s="20">
        <v>2E-3</v>
      </c>
      <c r="I852" s="20">
        <v>31.97</v>
      </c>
      <c r="J852" s="20"/>
    </row>
    <row r="853" spans="1:10" x14ac:dyDescent="0.2">
      <c r="A853" s="20" t="str">
        <f>HYPERLINK("https://www.ncbi.nlm.nih.gov/protein/XP_018311013.1?report=genbank&amp;log$=prottop&amp;blast_rank=862&amp;RID=DNNRD06A013","XP_018311013.1")</f>
        <v>XP_018311013.1</v>
      </c>
      <c r="B853" s="45">
        <v>267</v>
      </c>
      <c r="C853" s="20" t="s">
        <v>1266</v>
      </c>
      <c r="D853" s="21" t="s">
        <v>1267</v>
      </c>
      <c r="E853" s="20">
        <v>54.7</v>
      </c>
      <c r="F853" s="20">
        <v>54.7</v>
      </c>
      <c r="G853" s="22">
        <v>0.46</v>
      </c>
      <c r="H853" s="23">
        <v>1E-4</v>
      </c>
      <c r="I853" s="20">
        <v>31.97</v>
      </c>
      <c r="J853" s="20"/>
    </row>
    <row r="854" spans="1:10" x14ac:dyDescent="0.2">
      <c r="A854" s="20" t="str">
        <f>HYPERLINK("https://www.ncbi.nlm.nih.gov/protein/XP_033056811.1?report=genbank&amp;log$=prottop&amp;blast_rank=269&amp;RID=DNNRD06A013","XP_033056811.1")</f>
        <v>XP_033056811.1</v>
      </c>
      <c r="B854" s="45">
        <v>236</v>
      </c>
      <c r="C854" s="20" t="s">
        <v>1268</v>
      </c>
      <c r="D854" s="21" t="s">
        <v>1269</v>
      </c>
      <c r="E854" s="20">
        <v>153</v>
      </c>
      <c r="F854" s="20">
        <v>153</v>
      </c>
      <c r="G854" s="22">
        <v>0.7</v>
      </c>
      <c r="H854" s="23">
        <v>2.9999999999999999E-41</v>
      </c>
      <c r="I854" s="20">
        <v>46.46</v>
      </c>
      <c r="J854" s="20"/>
    </row>
    <row r="855" spans="1:10" x14ac:dyDescent="0.2">
      <c r="A855" s="20" t="str">
        <f>HYPERLINK("https://www.ncbi.nlm.nih.gov/protein/XP_033062185.1?report=genbank&amp;log$=prottop&amp;blast_rank=12&amp;RID=DNNRD06A013","XP_033062185.1")</f>
        <v>XP_033062185.1</v>
      </c>
      <c r="B855" s="45">
        <v>314</v>
      </c>
      <c r="C855" s="20" t="s">
        <v>1270</v>
      </c>
      <c r="D855" s="21" t="s">
        <v>1269</v>
      </c>
      <c r="E855" s="20">
        <v>455</v>
      </c>
      <c r="F855" s="20">
        <v>455</v>
      </c>
      <c r="G855" s="22">
        <v>1</v>
      </c>
      <c r="H855" s="23">
        <v>8.9999999999999998E-159</v>
      </c>
      <c r="I855" s="20">
        <v>95.54</v>
      </c>
      <c r="J855" s="20"/>
    </row>
    <row r="856" spans="1:10" x14ac:dyDescent="0.2">
      <c r="A856" s="20" t="str">
        <f>HYPERLINK("https://www.ncbi.nlm.nih.gov/protein/XP_008191467.1?report=genbank&amp;log$=prottop&amp;blast_rank=470&amp;RID=DNNRD06A013","XP_008191467.1")</f>
        <v>XP_008191467.1</v>
      </c>
      <c r="B856" s="45">
        <v>232</v>
      </c>
      <c r="C856" s="20" t="s">
        <v>1271</v>
      </c>
      <c r="D856" s="21" t="s">
        <v>1272</v>
      </c>
      <c r="E856" s="20">
        <v>113</v>
      </c>
      <c r="F856" s="20">
        <v>113</v>
      </c>
      <c r="G856" s="22">
        <v>0.69</v>
      </c>
      <c r="H856" s="23">
        <v>4.0000000000000002E-26</v>
      </c>
      <c r="I856" s="20">
        <v>32.9</v>
      </c>
      <c r="J856" s="20"/>
    </row>
    <row r="857" spans="1:10" x14ac:dyDescent="0.2">
      <c r="A857" s="20" t="str">
        <f>HYPERLINK("https://www.ncbi.nlm.nih.gov/protein/XP_969470.1?report=genbank&amp;log$=prottop&amp;blast_rank=589&amp;RID=DNNRD06A013","XP_969470.1")</f>
        <v>XP_969470.1</v>
      </c>
      <c r="B857" s="45">
        <v>319</v>
      </c>
      <c r="C857" s="20" t="s">
        <v>1273</v>
      </c>
      <c r="D857" s="21" t="s">
        <v>1272</v>
      </c>
      <c r="E857" s="20">
        <v>82.8</v>
      </c>
      <c r="F857" s="20">
        <v>82.8</v>
      </c>
      <c r="G857" s="22">
        <v>0.56999999999999995</v>
      </c>
      <c r="H857" s="23">
        <v>4E-14</v>
      </c>
      <c r="I857" s="20">
        <v>30.11</v>
      </c>
      <c r="J857" s="20"/>
    </row>
    <row r="858" spans="1:10" x14ac:dyDescent="0.2">
      <c r="A858" s="20" t="str">
        <f>HYPERLINK("https://www.ncbi.nlm.nih.gov/protein/XP_044252348.1?report=genbank&amp;log$=prottop&amp;blast_rank=569&amp;RID=DNNRD06A013","XP_044252348.1")</f>
        <v>XP_044252348.1</v>
      </c>
      <c r="B858" s="45">
        <v>318</v>
      </c>
      <c r="C858" s="20" t="s">
        <v>1274</v>
      </c>
      <c r="D858" s="21" t="s">
        <v>1275</v>
      </c>
      <c r="E858" s="20">
        <v>84.7</v>
      </c>
      <c r="F858" s="20">
        <v>84.7</v>
      </c>
      <c r="G858" s="22">
        <v>0.48</v>
      </c>
      <c r="H858" s="23">
        <v>5.9999999999999997E-15</v>
      </c>
      <c r="I858" s="20">
        <v>33.33</v>
      </c>
      <c r="J858" s="20"/>
    </row>
    <row r="859" spans="1:10" x14ac:dyDescent="0.2">
      <c r="A859" s="20" t="str">
        <f>HYPERLINK("https://www.ncbi.nlm.nih.gov/protein/XP_004390611.1?report=genbank&amp;log$=prottop&amp;blast_rank=276&amp;RID=DNNRD06A013","XP_004390611.1")</f>
        <v>XP_004390611.1</v>
      </c>
      <c r="B859" s="45">
        <v>236</v>
      </c>
      <c r="C859" s="20" t="s">
        <v>1276</v>
      </c>
      <c r="D859" s="21" t="s">
        <v>1277</v>
      </c>
      <c r="E859" s="20">
        <v>152</v>
      </c>
      <c r="F859" s="20">
        <v>152</v>
      </c>
      <c r="G859" s="22">
        <v>0.71</v>
      </c>
      <c r="H859" s="23">
        <v>4E-41</v>
      </c>
      <c r="I859" s="20">
        <v>45.81</v>
      </c>
      <c r="J859" s="20"/>
    </row>
    <row r="860" spans="1:10" x14ac:dyDescent="0.2">
      <c r="A860" s="20" t="str">
        <f>HYPERLINK("https://www.ncbi.nlm.nih.gov/protein/XP_004368549.1?report=genbank&amp;log$=prottop&amp;blast_rank=162&amp;RID=DNNRD06A013","XP_004368549.1")</f>
        <v>XP_004368549.1</v>
      </c>
      <c r="B860" s="45">
        <v>314</v>
      </c>
      <c r="C860" s="20" t="s">
        <v>1278</v>
      </c>
      <c r="D860" s="21" t="s">
        <v>1277</v>
      </c>
      <c r="E860" s="20">
        <v>348</v>
      </c>
      <c r="F860" s="20">
        <v>348</v>
      </c>
      <c r="G860" s="22">
        <v>0.99</v>
      </c>
      <c r="H860" s="23">
        <v>2E-116</v>
      </c>
      <c r="I860" s="20">
        <v>79.489999999999995</v>
      </c>
      <c r="J860" s="20"/>
    </row>
    <row r="861" spans="1:10" x14ac:dyDescent="0.2">
      <c r="A861" s="20" t="str">
        <f>HYPERLINK("https://www.ncbi.nlm.nih.gov/protein/XP_003374553.1?report=genbank&amp;log$=prottop&amp;blast_rank=670&amp;RID=DNNRD06A013","XP_003374553.1")</f>
        <v>XP_003374553.1</v>
      </c>
      <c r="B861" s="45">
        <v>361</v>
      </c>
      <c r="C861" s="20" t="s">
        <v>1279</v>
      </c>
      <c r="D861" s="21" t="s">
        <v>1280</v>
      </c>
      <c r="E861" s="20">
        <v>75.900000000000006</v>
      </c>
      <c r="F861" s="20">
        <v>75.900000000000006</v>
      </c>
      <c r="G861" s="22">
        <v>0.48</v>
      </c>
      <c r="H861" s="23">
        <v>9.9999999999999994E-12</v>
      </c>
      <c r="I861" s="20">
        <v>37.5</v>
      </c>
      <c r="J861" s="20"/>
    </row>
    <row r="862" spans="1:10" x14ac:dyDescent="0.2">
      <c r="A862" s="20" t="str">
        <f>HYPERLINK("https://www.ncbi.nlm.nih.gov/protein/XP_026727531.1?report=genbank&amp;log$=prottop&amp;blast_rank=659&amp;RID=DNNRD06A013","XP_026727531.1")</f>
        <v>XP_026727531.1</v>
      </c>
      <c r="B862" s="45">
        <v>320</v>
      </c>
      <c r="C862" s="20" t="s">
        <v>1281</v>
      </c>
      <c r="D862" s="21" t="s">
        <v>1282</v>
      </c>
      <c r="E862" s="20">
        <v>76.3</v>
      </c>
      <c r="F862" s="20">
        <v>123</v>
      </c>
      <c r="G862" s="22">
        <v>0.7</v>
      </c>
      <c r="H862" s="23">
        <v>6.0000000000000003E-12</v>
      </c>
      <c r="I862" s="20">
        <v>30.91</v>
      </c>
      <c r="J862" s="20"/>
    </row>
    <row r="863" spans="1:10" x14ac:dyDescent="0.2">
      <c r="A863" s="20" t="str">
        <f>HYPERLINK("https://www.ncbi.nlm.nih.gov/protein/XP_026727532.1?report=genbank&amp;log$=prottop&amp;blast_rank=764&amp;RID=DNNRD06A013","XP_026727532.1")</f>
        <v>XP_026727532.1</v>
      </c>
      <c r="B863" s="45">
        <v>308</v>
      </c>
      <c r="C863" s="20" t="s">
        <v>1283</v>
      </c>
      <c r="D863" s="21" t="s">
        <v>1282</v>
      </c>
      <c r="E863" s="20">
        <v>62.8</v>
      </c>
      <c r="F863" s="20">
        <v>111</v>
      </c>
      <c r="G863" s="22">
        <v>0.7</v>
      </c>
      <c r="H863" s="23">
        <v>1.9999999999999999E-7</v>
      </c>
      <c r="I863" s="20">
        <v>30.92</v>
      </c>
      <c r="J863" s="20"/>
    </row>
    <row r="864" spans="1:10" x14ac:dyDescent="0.2">
      <c r="A864" s="20" t="str">
        <f>HYPERLINK("https://www.ncbi.nlm.nih.gov/protein/XP_026727533.1?report=genbank&amp;log$=prottop&amp;blast_rank=701&amp;RID=DNNRD06A013","XP_026727533.1")</f>
        <v>XP_026727533.1</v>
      </c>
      <c r="B864" s="45">
        <v>303</v>
      </c>
      <c r="C864" s="20" t="s">
        <v>1284</v>
      </c>
      <c r="D864" s="21" t="s">
        <v>1282</v>
      </c>
      <c r="E864" s="20">
        <v>71.599999999999994</v>
      </c>
      <c r="F864" s="20">
        <v>71.599999999999994</v>
      </c>
      <c r="G864" s="22">
        <v>0.48</v>
      </c>
      <c r="H864" s="23">
        <v>2.0000000000000001E-10</v>
      </c>
      <c r="I864" s="20">
        <v>32.9</v>
      </c>
      <c r="J864" s="20"/>
    </row>
    <row r="865" spans="1:10" x14ac:dyDescent="0.2">
      <c r="A865" s="20" t="str">
        <f>HYPERLINK("https://www.ncbi.nlm.nih.gov/protein/XP_026743517.1?report=genbank&amp;log$=prottop&amp;blast_rank=763&amp;RID=DNNRD06A013","XP_026743517.1")</f>
        <v>XP_026743517.1</v>
      </c>
      <c r="B865" s="45">
        <v>315</v>
      </c>
      <c r="C865" s="20" t="s">
        <v>1285</v>
      </c>
      <c r="D865" s="21" t="s">
        <v>1282</v>
      </c>
      <c r="E865" s="20">
        <v>63.2</v>
      </c>
      <c r="F865" s="20">
        <v>63.2</v>
      </c>
      <c r="G865" s="22">
        <v>0.49</v>
      </c>
      <c r="H865" s="23">
        <v>1.9999999999999999E-7</v>
      </c>
      <c r="I865" s="20">
        <v>35.619999999999997</v>
      </c>
      <c r="J865" s="20"/>
    </row>
    <row r="866" spans="1:10" x14ac:dyDescent="0.2">
      <c r="A866" s="20" t="str">
        <f>HYPERLINK("https://www.ncbi.nlm.nih.gov/protein/XP_036596275.1?report=genbank&amp;log$=prottop&amp;blast_rank=240&amp;RID=DNNRD06A013","XP_036596275.1")</f>
        <v>XP_036596275.1</v>
      </c>
      <c r="B866" s="45">
        <v>241</v>
      </c>
      <c r="C866" s="20" t="s">
        <v>1286</v>
      </c>
      <c r="D866" s="21" t="s">
        <v>1287</v>
      </c>
      <c r="E866" s="20">
        <v>155</v>
      </c>
      <c r="F866" s="20">
        <v>155</v>
      </c>
      <c r="G866" s="22">
        <v>0.71</v>
      </c>
      <c r="H866" s="23">
        <v>5E-42</v>
      </c>
      <c r="I866" s="20">
        <v>42.36</v>
      </c>
      <c r="J866" s="20"/>
    </row>
    <row r="867" spans="1:10" x14ac:dyDescent="0.2">
      <c r="A867" s="20" t="str">
        <f>HYPERLINK("https://www.ncbi.nlm.nih.gov/protein/XP_036594929.1?report=genbank&amp;log$=prottop&amp;blast_rank=183&amp;RID=DNNRD06A013","XP_036594929.1")</f>
        <v>XP_036594929.1</v>
      </c>
      <c r="B867" s="45">
        <v>325</v>
      </c>
      <c r="C867" s="20" t="s">
        <v>1288</v>
      </c>
      <c r="D867" s="21" t="s">
        <v>1287</v>
      </c>
      <c r="E867" s="20">
        <v>282</v>
      </c>
      <c r="F867" s="20">
        <v>282</v>
      </c>
      <c r="G867" s="22">
        <v>0.74</v>
      </c>
      <c r="H867" s="23">
        <v>9.9999999999999999E-91</v>
      </c>
      <c r="I867" s="20">
        <v>65.25</v>
      </c>
      <c r="J867" s="20"/>
    </row>
    <row r="868" spans="1:10" x14ac:dyDescent="0.2">
      <c r="A868" s="20" t="str">
        <f>HYPERLINK("https://www.ncbi.nlm.nih.gov/protein/XP_006166750.1?report=genbank&amp;log$=prottop&amp;blast_rank=319&amp;RID=DNNRD06A013","XP_006166750.1")</f>
        <v>XP_006166750.1</v>
      </c>
      <c r="B868" s="45">
        <v>260</v>
      </c>
      <c r="C868" s="20" t="s">
        <v>1289</v>
      </c>
      <c r="D868" s="21" t="s">
        <v>1290</v>
      </c>
      <c r="E868" s="20">
        <v>152</v>
      </c>
      <c r="F868" s="20">
        <v>152</v>
      </c>
      <c r="G868" s="22">
        <v>0.7</v>
      </c>
      <c r="H868" s="23">
        <v>9.9999999999999993E-41</v>
      </c>
      <c r="I868" s="20">
        <v>45.29</v>
      </c>
      <c r="J868" s="20"/>
    </row>
    <row r="869" spans="1:10" x14ac:dyDescent="0.2">
      <c r="A869" s="20" t="str">
        <f>HYPERLINK("https://www.ncbi.nlm.nih.gov/protein/XP_006171066.1?report=genbank&amp;log$=prottop&amp;blast_rank=125&amp;RID=DNNRD06A013","XP_006171066.1")</f>
        <v>XP_006171066.1</v>
      </c>
      <c r="B869" s="45">
        <v>313</v>
      </c>
      <c r="C869" s="20" t="s">
        <v>1291</v>
      </c>
      <c r="D869" s="21" t="s">
        <v>1290</v>
      </c>
      <c r="E869" s="20">
        <v>369</v>
      </c>
      <c r="F869" s="20">
        <v>369</v>
      </c>
      <c r="G869" s="22">
        <v>1</v>
      </c>
      <c r="H869" s="23">
        <v>9.9999999999999993E-125</v>
      </c>
      <c r="I869" s="20">
        <v>80.25</v>
      </c>
      <c r="J869" s="20"/>
    </row>
    <row r="870" spans="1:10" x14ac:dyDescent="0.2">
      <c r="A870" s="20" t="str">
        <f>HYPERLINK("https://www.ncbi.nlm.nih.gov/protein/XP_033705074.1?report=genbank&amp;log$=prottop&amp;blast_rank=511&amp;RID=DNNRD06A013","XP_033705074.1")</f>
        <v>XP_033705074.1</v>
      </c>
      <c r="B870" s="45">
        <v>217</v>
      </c>
      <c r="C870" s="20" t="s">
        <v>1292</v>
      </c>
      <c r="D870" s="21" t="s">
        <v>1293</v>
      </c>
      <c r="E870" s="20">
        <v>99.4</v>
      </c>
      <c r="F870" s="20">
        <v>99.4</v>
      </c>
      <c r="G870" s="22">
        <v>0.7</v>
      </c>
      <c r="H870" s="23">
        <v>7.0000000000000007E-21</v>
      </c>
      <c r="I870" s="20">
        <v>36.89</v>
      </c>
      <c r="J870" s="20"/>
    </row>
    <row r="871" spans="1:10" x14ac:dyDescent="0.2">
      <c r="A871" s="20" t="str">
        <f>HYPERLINK("https://www.ncbi.nlm.nih.gov/protein/XP_004312851.1?report=genbank&amp;log$=prottop&amp;blast_rank=33&amp;RID=DNNRD06A013","XP_004312851.1")</f>
        <v>XP_004312851.1</v>
      </c>
      <c r="B871" s="45">
        <v>314</v>
      </c>
      <c r="C871" s="20" t="s">
        <v>1294</v>
      </c>
      <c r="D871" s="21" t="s">
        <v>1293</v>
      </c>
      <c r="E871" s="20">
        <v>411</v>
      </c>
      <c r="F871" s="20">
        <v>411</v>
      </c>
      <c r="G871" s="22">
        <v>1</v>
      </c>
      <c r="H871" s="23">
        <v>2.0000000000000001E-141</v>
      </c>
      <c r="I871" s="20">
        <v>83.12</v>
      </c>
      <c r="J871" s="20"/>
    </row>
    <row r="872" spans="1:10" x14ac:dyDescent="0.2">
      <c r="A872" s="20" t="str">
        <f>HYPERLINK("https://www.ncbi.nlm.nih.gov/protein/XP_026239674.1?report=genbank&amp;log$=prottop&amp;blast_rank=43&amp;RID=DNNRD06A013","XP_026239674.1")</f>
        <v>XP_026239674.1</v>
      </c>
      <c r="B872" s="45">
        <v>314</v>
      </c>
      <c r="C872" s="20" t="s">
        <v>1295</v>
      </c>
      <c r="D872" s="21" t="s">
        <v>1296</v>
      </c>
      <c r="E872" s="20">
        <v>405</v>
      </c>
      <c r="F872" s="20">
        <v>405</v>
      </c>
      <c r="G872" s="22">
        <v>1</v>
      </c>
      <c r="H872" s="23">
        <v>2.0000000000000001E-139</v>
      </c>
      <c r="I872" s="20">
        <v>82.8</v>
      </c>
      <c r="J872" s="20"/>
    </row>
    <row r="873" spans="1:10" x14ac:dyDescent="0.2">
      <c r="A873" s="20" t="str">
        <f>HYPERLINK("https://www.ncbi.nlm.nih.gov/protein/XP_026344974.3?report=genbank&amp;log$=prottop&amp;blast_rank=288&amp;RID=DNNRD06A013","XP_026344974.3")</f>
        <v>XP_026344974.3</v>
      </c>
      <c r="B873" s="45">
        <v>269</v>
      </c>
      <c r="C873" s="20" t="s">
        <v>1297</v>
      </c>
      <c r="D873" s="21" t="s">
        <v>1298</v>
      </c>
      <c r="E873" s="20">
        <v>153</v>
      </c>
      <c r="F873" s="20">
        <v>153</v>
      </c>
      <c r="G873" s="22">
        <v>0.7</v>
      </c>
      <c r="H873" s="23">
        <v>4.9999999999999996E-41</v>
      </c>
      <c r="I873" s="20">
        <v>46.9</v>
      </c>
      <c r="J873" s="20"/>
    </row>
    <row r="874" spans="1:10" x14ac:dyDescent="0.2">
      <c r="A874" s="20" t="str">
        <f>HYPERLINK("https://www.ncbi.nlm.nih.gov/protein/XP_040483017.1?report=genbank&amp;log$=prottop&amp;blast_rank=248&amp;RID=DNNRD06A013","XP_040483017.1")</f>
        <v>XP_040483017.1</v>
      </c>
      <c r="B874" s="45">
        <v>236</v>
      </c>
      <c r="C874" s="20" t="s">
        <v>1299</v>
      </c>
      <c r="D874" s="21" t="s">
        <v>1300</v>
      </c>
      <c r="E874" s="20">
        <v>154</v>
      </c>
      <c r="F874" s="20">
        <v>154</v>
      </c>
      <c r="G874" s="22">
        <v>0.7</v>
      </c>
      <c r="H874" s="23">
        <v>7.0000000000000004E-42</v>
      </c>
      <c r="I874" s="20">
        <v>46.9</v>
      </c>
      <c r="J874" s="20"/>
    </row>
    <row r="875" spans="1:10" x14ac:dyDescent="0.2">
      <c r="A875" s="20" t="str">
        <f>HYPERLINK("https://www.ncbi.nlm.nih.gov/protein/XP_040483019.1?report=genbank&amp;log$=prottop&amp;blast_rank=280&amp;RID=DNNRD06A013","XP_040483019.1")</f>
        <v>XP_040483019.1</v>
      </c>
      <c r="B875" s="45">
        <v>269</v>
      </c>
      <c r="C875" s="20" t="s">
        <v>1301</v>
      </c>
      <c r="D875" s="21" t="s">
        <v>1300</v>
      </c>
      <c r="E875" s="20">
        <v>154</v>
      </c>
      <c r="F875" s="20">
        <v>154</v>
      </c>
      <c r="G875" s="22">
        <v>0.7</v>
      </c>
      <c r="H875" s="23">
        <v>4E-41</v>
      </c>
      <c r="I875" s="20">
        <v>46.9</v>
      </c>
      <c r="J875" s="20"/>
    </row>
    <row r="876" spans="1:10" x14ac:dyDescent="0.2">
      <c r="A876" s="20" t="str">
        <f>HYPERLINK("https://www.ncbi.nlm.nih.gov/protein/XP_008702046.1?report=genbank&amp;log$=prottop&amp;blast_rank=81&amp;RID=DNNRD06A013","XP_008702046.1")</f>
        <v>XP_008702046.1</v>
      </c>
      <c r="B876" s="45">
        <v>314</v>
      </c>
      <c r="C876" s="20" t="s">
        <v>1302</v>
      </c>
      <c r="D876" s="21" t="s">
        <v>1300</v>
      </c>
      <c r="E876" s="20">
        <v>395</v>
      </c>
      <c r="F876" s="20">
        <v>395</v>
      </c>
      <c r="G876" s="22">
        <v>1</v>
      </c>
      <c r="H876" s="23">
        <v>3.0000000000000001E-135</v>
      </c>
      <c r="I876" s="20">
        <v>81.209999999999994</v>
      </c>
      <c r="J876" s="20"/>
    </row>
    <row r="877" spans="1:10" x14ac:dyDescent="0.2">
      <c r="A877" s="20" t="str">
        <f>HYPERLINK("https://www.ncbi.nlm.nih.gov/protein/XP_047540097.1?report=genbank&amp;log$=prottop&amp;blast_rank=564&amp;RID=DNNRD06A013","XP_047540097.1")</f>
        <v>XP_047540097.1</v>
      </c>
      <c r="B877" s="45">
        <v>272</v>
      </c>
      <c r="C877" s="20" t="s">
        <v>1303</v>
      </c>
      <c r="D877" s="21" t="s">
        <v>1304</v>
      </c>
      <c r="E877" s="20">
        <v>85.1</v>
      </c>
      <c r="F877" s="20">
        <v>85.1</v>
      </c>
      <c r="G877" s="22">
        <v>0.7</v>
      </c>
      <c r="H877" s="23">
        <v>2.9999999999999998E-15</v>
      </c>
      <c r="I877" s="20">
        <v>28.37</v>
      </c>
      <c r="J877" s="20"/>
    </row>
    <row r="878" spans="1:10" x14ac:dyDescent="0.2">
      <c r="A878" s="20" t="str">
        <f>HYPERLINK("https://www.ncbi.nlm.nih.gov/protein/XP_047540022.1?report=genbank&amp;log$=prottop&amp;blast_rank=656&amp;RID=DNNRD06A013","XP_047540022.1")</f>
        <v>XP_047540022.1</v>
      </c>
      <c r="B878" s="45">
        <v>292</v>
      </c>
      <c r="C878" s="20" t="s">
        <v>1305</v>
      </c>
      <c r="D878" s="21" t="s">
        <v>1304</v>
      </c>
      <c r="E878" s="20">
        <v>76.3</v>
      </c>
      <c r="F878" s="20">
        <v>76.3</v>
      </c>
      <c r="G878" s="22">
        <v>0.45</v>
      </c>
      <c r="H878" s="23">
        <v>6.0000000000000003E-12</v>
      </c>
      <c r="I878" s="20">
        <v>38.1</v>
      </c>
      <c r="J878" s="20"/>
    </row>
    <row r="879" spans="1:10" x14ac:dyDescent="0.2">
      <c r="A879" s="20" t="str">
        <f>HYPERLINK("https://www.ncbi.nlm.nih.gov/protein/XP_046973759.1?report=genbank&amp;log$=prottop&amp;blast_rank=624&amp;RID=DNNRD06A013","XP_046973759.1")</f>
        <v>XP_046973759.1</v>
      </c>
      <c r="B879" s="45">
        <v>269</v>
      </c>
      <c r="C879" s="20" t="s">
        <v>1306</v>
      </c>
      <c r="D879" s="21" t="s">
        <v>1307</v>
      </c>
      <c r="E879" s="20">
        <v>78.599999999999994</v>
      </c>
      <c r="F879" s="20">
        <v>78.599999999999994</v>
      </c>
      <c r="G879" s="22">
        <v>0.53</v>
      </c>
      <c r="H879" s="23">
        <v>5.9999999999999997E-13</v>
      </c>
      <c r="I879" s="20">
        <v>33.14</v>
      </c>
      <c r="J879" s="20"/>
    </row>
    <row r="880" spans="1:10" x14ac:dyDescent="0.2">
      <c r="A880" s="20" t="str">
        <f>HYPERLINK("https://www.ncbi.nlm.nih.gov/protein/XP_046973758.1?report=genbank&amp;log$=prottop&amp;blast_rank=652&amp;RID=DNNRD06A013","XP_046973758.1")</f>
        <v>XP_046973758.1</v>
      </c>
      <c r="B880" s="45">
        <v>292</v>
      </c>
      <c r="C880" s="20" t="s">
        <v>1306</v>
      </c>
      <c r="D880" s="21" t="s">
        <v>1307</v>
      </c>
      <c r="E880" s="20">
        <v>76.599999999999994</v>
      </c>
      <c r="F880" s="20">
        <v>76.599999999999994</v>
      </c>
      <c r="G880" s="22">
        <v>0.62</v>
      </c>
      <c r="H880" s="23">
        <v>3.9999999999999999E-12</v>
      </c>
      <c r="I880" s="20">
        <v>29.29</v>
      </c>
      <c r="J880" s="20"/>
    </row>
    <row r="881" spans="1:10" x14ac:dyDescent="0.2">
      <c r="A881" s="20" t="str">
        <f>HYPERLINK("https://www.ncbi.nlm.nih.gov/protein/XP_026494466.1?report=genbank&amp;log$=prottop&amp;blast_rank=549&amp;RID=DNNRD06A013","XP_026494466.1")</f>
        <v>XP_026494466.1</v>
      </c>
      <c r="B881" s="45">
        <v>271</v>
      </c>
      <c r="C881" s="20" t="s">
        <v>1308</v>
      </c>
      <c r="D881" s="21" t="s">
        <v>1309</v>
      </c>
      <c r="E881" s="20">
        <v>88.6</v>
      </c>
      <c r="F881" s="20">
        <v>88.6</v>
      </c>
      <c r="G881" s="22">
        <v>0.7</v>
      </c>
      <c r="H881" s="23">
        <v>2E-16</v>
      </c>
      <c r="I881" s="20">
        <v>27.76</v>
      </c>
      <c r="J881" s="20"/>
    </row>
    <row r="882" spans="1:10" x14ac:dyDescent="0.2">
      <c r="A882" s="20" t="str">
        <f>HYPERLINK("https://www.ncbi.nlm.nih.gov/protein/XP_026494463.1?report=genbank&amp;log$=prottop&amp;blast_rank=660&amp;RID=DNNRD06A013","XP_026494463.1")</f>
        <v>XP_026494463.1</v>
      </c>
      <c r="B882" s="45">
        <v>292</v>
      </c>
      <c r="C882" s="20" t="s">
        <v>1310</v>
      </c>
      <c r="D882" s="21" t="s">
        <v>1309</v>
      </c>
      <c r="E882" s="20">
        <v>75.900000000000006</v>
      </c>
      <c r="F882" s="20">
        <v>75.900000000000006</v>
      </c>
      <c r="G882" s="22">
        <v>0.45</v>
      </c>
      <c r="H882" s="23">
        <v>6.0000000000000003E-12</v>
      </c>
      <c r="I882" s="20">
        <v>37.409999999999997</v>
      </c>
      <c r="J882" s="20"/>
    </row>
    <row r="883" spans="1:10" x14ac:dyDescent="0.2">
      <c r="A883" s="20" t="str">
        <f>HYPERLINK("https://www.ncbi.nlm.nih.gov/protein/XP_044299418.1?report=genbank&amp;log$=prottop&amp;blast_rank=433&amp;RID=DNNRD06A013","XP_044299418.1")</f>
        <v>XP_044299418.1</v>
      </c>
      <c r="B883" s="45">
        <v>227</v>
      </c>
      <c r="C883" s="20" t="s">
        <v>1311</v>
      </c>
      <c r="D883" s="21" t="s">
        <v>1312</v>
      </c>
      <c r="E883" s="20">
        <v>135</v>
      </c>
      <c r="F883" s="20">
        <v>135</v>
      </c>
      <c r="G883" s="22">
        <v>0.72</v>
      </c>
      <c r="H883" s="23">
        <v>1.9999999999999999E-34</v>
      </c>
      <c r="I883" s="20">
        <v>37.39</v>
      </c>
      <c r="J883" s="20"/>
    </row>
    <row r="884" spans="1:10" x14ac:dyDescent="0.2">
      <c r="A884" s="20" t="str">
        <f>HYPERLINK("https://www.ncbi.nlm.nih.gov/protein/XP_044299419.1?report=genbank&amp;log$=prottop&amp;blast_rank=458&amp;RID=DNNRD06A013","XP_044299419.1")</f>
        <v>XP_044299419.1</v>
      </c>
      <c r="B884" s="45">
        <v>211</v>
      </c>
      <c r="C884" s="20" t="s">
        <v>1313</v>
      </c>
      <c r="D884" s="21" t="s">
        <v>1312</v>
      </c>
      <c r="E884" s="20">
        <v>122</v>
      </c>
      <c r="F884" s="20">
        <v>122</v>
      </c>
      <c r="G884" s="22">
        <v>0.67</v>
      </c>
      <c r="H884" s="23">
        <v>9.9999999999999994E-30</v>
      </c>
      <c r="I884" s="20">
        <v>37.85</v>
      </c>
      <c r="J884" s="20"/>
    </row>
    <row r="885" spans="1:10" x14ac:dyDescent="0.2">
      <c r="A885" s="20" t="str">
        <f>HYPERLINK("https://www.ncbi.nlm.nih.gov/protein/XP_022658969.1?report=genbank&amp;log$=prottop&amp;blast_rank=725&amp;RID=DNNRD06A013","XP_022658969.1")</f>
        <v>XP_022658969.1</v>
      </c>
      <c r="B885" s="45">
        <v>385</v>
      </c>
      <c r="C885" s="20" t="s">
        <v>1314</v>
      </c>
      <c r="D885" s="21" t="s">
        <v>1315</v>
      </c>
      <c r="E885" s="20">
        <v>68.599999999999994</v>
      </c>
      <c r="F885" s="20">
        <v>68.599999999999994</v>
      </c>
      <c r="G885" s="22">
        <v>0.48</v>
      </c>
      <c r="H885" s="23">
        <v>4.0000000000000002E-9</v>
      </c>
      <c r="I885" s="20">
        <v>33.54</v>
      </c>
      <c r="J885" s="20"/>
    </row>
    <row r="886" spans="1:10" x14ac:dyDescent="0.2">
      <c r="A886" s="20" t="str">
        <f>HYPERLINK("https://www.ncbi.nlm.nih.gov/protein/XP_006218596.1?report=genbank&amp;log$=prottop&amp;blast_rank=387&amp;RID=DNNRD06A013","XP_006218596.1")</f>
        <v>XP_006218596.1</v>
      </c>
      <c r="B886" s="45">
        <v>236</v>
      </c>
      <c r="C886" s="20" t="s">
        <v>1316</v>
      </c>
      <c r="D886" s="21" t="s">
        <v>1317</v>
      </c>
      <c r="E886" s="20">
        <v>147</v>
      </c>
      <c r="F886" s="20">
        <v>147</v>
      </c>
      <c r="G886" s="22">
        <v>0.7</v>
      </c>
      <c r="H886" s="23">
        <v>7E-39</v>
      </c>
      <c r="I886" s="20">
        <v>45.13</v>
      </c>
      <c r="J886" s="20"/>
    </row>
    <row r="887" spans="1:10" x14ac:dyDescent="0.2">
      <c r="A887" s="20" t="str">
        <f>HYPERLINK("https://www.ncbi.nlm.nih.gov/protein/XP_006220391.2?report=genbank&amp;log$=prottop&amp;blast_rank=84&amp;RID=DNNRD06A013","XP_006220391.2")</f>
        <v>XP_006220391.2</v>
      </c>
      <c r="B887" s="45">
        <v>316</v>
      </c>
      <c r="C887" s="20" t="s">
        <v>1318</v>
      </c>
      <c r="D887" s="21" t="s">
        <v>1317</v>
      </c>
      <c r="E887" s="20">
        <v>394</v>
      </c>
      <c r="F887" s="20">
        <v>394</v>
      </c>
      <c r="G887" s="22">
        <v>0.99</v>
      </c>
      <c r="H887" s="23">
        <v>8.9999999999999997E-135</v>
      </c>
      <c r="I887" s="20">
        <v>82.11</v>
      </c>
      <c r="J887" s="20"/>
    </row>
    <row r="888" spans="1:10" x14ac:dyDescent="0.2">
      <c r="A888" s="20" t="str">
        <f>HYPERLINK("https://www.ncbi.nlm.nih.gov/protein/XP_031542452.1?report=genbank&amp;log$=prottop&amp;blast_rank=174&amp;RID=DNNRD06A013","XP_031542452.1")</f>
        <v>XP_031542452.1</v>
      </c>
      <c r="B888" s="45">
        <v>261</v>
      </c>
      <c r="C888" s="20" t="s">
        <v>1319</v>
      </c>
      <c r="D888" s="21" t="s">
        <v>1317</v>
      </c>
      <c r="E888" s="20">
        <v>325</v>
      </c>
      <c r="F888" s="20">
        <v>325</v>
      </c>
      <c r="G888" s="22">
        <v>0.8</v>
      </c>
      <c r="H888" s="23">
        <v>2.0000000000000001E-108</v>
      </c>
      <c r="I888" s="20">
        <v>81.349999999999994</v>
      </c>
      <c r="J888" s="20"/>
    </row>
    <row r="889" spans="1:10" x14ac:dyDescent="0.2">
      <c r="A889" s="20" t="str">
        <f>HYPERLINK("https://www.ncbi.nlm.nih.gov/protein/XP_011878532.1?report=genbank&amp;log$=prottop&amp;blast_rank=873&amp;RID=DNNRD06A013","XP_011878532.1")</f>
        <v>XP_011878532.1</v>
      </c>
      <c r="B889" s="45">
        <v>334</v>
      </c>
      <c r="C889" s="20" t="s">
        <v>1320</v>
      </c>
      <c r="D889" s="21" t="s">
        <v>1321</v>
      </c>
      <c r="E889" s="20">
        <v>54.3</v>
      </c>
      <c r="F889" s="20">
        <v>54.3</v>
      </c>
      <c r="G889" s="22">
        <v>0.46</v>
      </c>
      <c r="H889" s="23">
        <v>2.0000000000000001E-4</v>
      </c>
      <c r="I889" s="20">
        <v>33.11</v>
      </c>
      <c r="J889" s="20"/>
    </row>
    <row r="890" spans="1:10" x14ac:dyDescent="0.2">
      <c r="A890" s="20" t="str">
        <f>HYPERLINK("https://www.ncbi.nlm.nih.gov/protein/XP_027691541.1?report=genbank&amp;log$=prottop&amp;blast_rank=315&amp;RID=DNNRD06A013","XP_027691541.1")</f>
        <v>XP_027691541.1</v>
      </c>
      <c r="B890" s="45">
        <v>240</v>
      </c>
      <c r="C890" s="20" t="s">
        <v>1322</v>
      </c>
      <c r="D890" s="21" t="s">
        <v>1323</v>
      </c>
      <c r="E890" s="20">
        <v>151</v>
      </c>
      <c r="F890" s="20">
        <v>151</v>
      </c>
      <c r="G890" s="22">
        <v>0.71</v>
      </c>
      <c r="H890" s="23">
        <v>9.9999999999999993E-41</v>
      </c>
      <c r="I890" s="20">
        <v>41.92</v>
      </c>
      <c r="J890" s="20"/>
    </row>
    <row r="891" spans="1:10" x14ac:dyDescent="0.2">
      <c r="A891" s="20" t="str">
        <f>HYPERLINK("https://www.ncbi.nlm.nih.gov/protein/XP_027716428.1?report=genbank&amp;log$=prottop&amp;blast_rank=184&amp;RID=DNNRD06A013","XP_027716428.1")</f>
        <v>XP_027716428.1</v>
      </c>
      <c r="B891" s="45">
        <v>325</v>
      </c>
      <c r="C891" s="20" t="s">
        <v>1324</v>
      </c>
      <c r="D891" s="21" t="s">
        <v>1323</v>
      </c>
      <c r="E891" s="20">
        <v>281</v>
      </c>
      <c r="F891" s="20">
        <v>281</v>
      </c>
      <c r="G891" s="22">
        <v>0.77</v>
      </c>
      <c r="H891" s="23">
        <v>6.9999999999999997E-90</v>
      </c>
      <c r="I891" s="20">
        <v>65.31</v>
      </c>
      <c r="J891" s="20"/>
    </row>
    <row r="892" spans="1:10" x14ac:dyDescent="0.2">
      <c r="A892" s="20" t="str">
        <f>HYPERLINK("https://www.ncbi.nlm.nih.gov/protein/XP_041598143.1?report=genbank&amp;log$=prottop&amp;blast_rank=371&amp;RID=DNNRD06A013","XP_041598143.1")</f>
        <v>XP_041598143.1</v>
      </c>
      <c r="B892" s="45">
        <v>290</v>
      </c>
      <c r="C892" s="20" t="s">
        <v>1325</v>
      </c>
      <c r="D892" s="21" t="s">
        <v>1326</v>
      </c>
      <c r="E892" s="20">
        <v>150</v>
      </c>
      <c r="F892" s="20">
        <v>150</v>
      </c>
      <c r="G892" s="22">
        <v>0.7</v>
      </c>
      <c r="H892" s="23">
        <v>9.9999999999999993E-40</v>
      </c>
      <c r="I892" s="20">
        <v>46.9</v>
      </c>
      <c r="J892" s="20"/>
    </row>
    <row r="893" spans="1:10" x14ac:dyDescent="0.2">
      <c r="A893" s="20" t="str">
        <f>HYPERLINK("https://www.ncbi.nlm.nih.gov/protein/XP_041617759.1?report=genbank&amp;log$=prottop&amp;blast_rank=96&amp;RID=DNNRD06A013","XP_041617759.1")</f>
        <v>XP_041617759.1</v>
      </c>
      <c r="B893" s="45">
        <v>373</v>
      </c>
      <c r="C893" s="20" t="s">
        <v>1327</v>
      </c>
      <c r="D893" s="21" t="s">
        <v>1326</v>
      </c>
      <c r="E893" s="20">
        <v>393</v>
      </c>
      <c r="F893" s="20">
        <v>393</v>
      </c>
      <c r="G893" s="22">
        <v>1</v>
      </c>
      <c r="H893" s="23">
        <v>2.0000000000000001E-133</v>
      </c>
      <c r="I893" s="20">
        <v>82.17</v>
      </c>
      <c r="J893" s="20"/>
    </row>
    <row r="894" spans="1:10" x14ac:dyDescent="0.2">
      <c r="A894" s="20" t="str">
        <f>HYPERLINK("https://www.ncbi.nlm.nih.gov/protein/XP_041617760.1?report=genbank&amp;log$=prottop&amp;blast_rank=88&amp;RID=DNNRD06A013","XP_041617760.1")</f>
        <v>XP_041617760.1</v>
      </c>
      <c r="B894" s="45">
        <v>339</v>
      </c>
      <c r="C894" s="20" t="s">
        <v>1328</v>
      </c>
      <c r="D894" s="21" t="s">
        <v>1326</v>
      </c>
      <c r="E894" s="20">
        <v>394</v>
      </c>
      <c r="F894" s="20">
        <v>394</v>
      </c>
      <c r="G894" s="22">
        <v>1</v>
      </c>
      <c r="H894" s="23">
        <v>2.0000000000000001E-134</v>
      </c>
      <c r="I894" s="20">
        <v>82.17</v>
      </c>
      <c r="J894" s="20"/>
    </row>
    <row r="895" spans="1:10" x14ac:dyDescent="0.2">
      <c r="A895" s="20" t="str">
        <f>HYPERLINK("https://www.ncbi.nlm.nih.gov/protein/XP_025843844.1?report=genbank&amp;log$=prottop&amp;blast_rank=307&amp;RID=DNNRD06A013","XP_025843844.1")</f>
        <v>XP_025843844.1</v>
      </c>
      <c r="B895" s="45">
        <v>236</v>
      </c>
      <c r="C895" s="20" t="s">
        <v>1329</v>
      </c>
      <c r="D895" s="21" t="s">
        <v>1330</v>
      </c>
      <c r="E895" s="20">
        <v>151</v>
      </c>
      <c r="F895" s="20">
        <v>151</v>
      </c>
      <c r="G895" s="22">
        <v>0.7</v>
      </c>
      <c r="H895" s="23">
        <v>9.9999999999999993E-41</v>
      </c>
      <c r="I895" s="20">
        <v>46.9</v>
      </c>
      <c r="J895" s="20"/>
    </row>
    <row r="896" spans="1:10" x14ac:dyDescent="0.2">
      <c r="A896" s="20" t="str">
        <f>HYPERLINK("https://www.ncbi.nlm.nih.gov/protein/XP_025844597.1?report=genbank&amp;log$=prottop&amp;blast_rank=94&amp;RID=DNNRD06A013","XP_025844597.1")</f>
        <v>XP_025844597.1</v>
      </c>
      <c r="B896" s="45">
        <v>373</v>
      </c>
      <c r="C896" s="20" t="s">
        <v>1331</v>
      </c>
      <c r="D896" s="21" t="s">
        <v>1330</v>
      </c>
      <c r="E896" s="20">
        <v>394</v>
      </c>
      <c r="F896" s="20">
        <v>394</v>
      </c>
      <c r="G896" s="22">
        <v>1</v>
      </c>
      <c r="H896" s="23">
        <v>1.0000000000000001E-133</v>
      </c>
      <c r="I896" s="20">
        <v>82.17</v>
      </c>
      <c r="J896" s="20"/>
    </row>
    <row r="897" spans="1:10" x14ac:dyDescent="0.2">
      <c r="A897" s="20" t="str">
        <f>HYPERLINK("https://www.ncbi.nlm.nih.gov/protein/XP_018088281.1?report=genbank&amp;log$=prottop&amp;blast_rank=293&amp;RID=DNNRD06A013","XP_018088281.1")</f>
        <v>XP_018088281.1</v>
      </c>
      <c r="B897" s="45">
        <v>232</v>
      </c>
      <c r="C897" s="20" t="s">
        <v>1332</v>
      </c>
      <c r="D897" s="21" t="s">
        <v>1333</v>
      </c>
      <c r="E897" s="20">
        <v>152</v>
      </c>
      <c r="F897" s="20">
        <v>152</v>
      </c>
      <c r="G897" s="22">
        <v>0.73</v>
      </c>
      <c r="H897" s="23">
        <v>5.9999999999999998E-41</v>
      </c>
      <c r="I897" s="20">
        <v>42.31</v>
      </c>
      <c r="J897" s="20"/>
    </row>
    <row r="898" spans="1:10" x14ac:dyDescent="0.2">
      <c r="A898" s="20" t="str">
        <f>HYPERLINK("https://www.ncbi.nlm.nih.gov/protein/XP_041429164.1?report=genbank&amp;log$=prottop&amp;blast_rank=232&amp;RID=DNNRD06A013","XP_041429164.1")</f>
        <v>XP_041429164.1</v>
      </c>
      <c r="B898" s="45">
        <v>241</v>
      </c>
      <c r="C898" s="20" t="s">
        <v>1334</v>
      </c>
      <c r="D898" s="21" t="s">
        <v>1333</v>
      </c>
      <c r="E898" s="20">
        <v>155</v>
      </c>
      <c r="F898" s="20">
        <v>155</v>
      </c>
      <c r="G898" s="22">
        <v>0.73</v>
      </c>
      <c r="H898" s="23">
        <v>3.0000000000000003E-42</v>
      </c>
      <c r="I898" s="20">
        <v>42.74</v>
      </c>
      <c r="J898" s="20"/>
    </row>
    <row r="899" spans="1:10" x14ac:dyDescent="0.2">
      <c r="A899" s="20" t="str">
        <f>HYPERLINK("https://www.ncbi.nlm.nih.gov/protein/XP_041429165.1?report=genbank&amp;log$=prottop&amp;blast_rank=231&amp;RID=DNNRD06A013","XP_041429165.1")</f>
        <v>XP_041429165.1</v>
      </c>
      <c r="B899" s="45">
        <v>232</v>
      </c>
      <c r="C899" s="20" t="s">
        <v>1335</v>
      </c>
      <c r="D899" s="21" t="s">
        <v>1333</v>
      </c>
      <c r="E899" s="20">
        <v>156</v>
      </c>
      <c r="F899" s="20">
        <v>156</v>
      </c>
      <c r="G899" s="22">
        <v>0.73</v>
      </c>
      <c r="H899" s="23">
        <v>2.0000000000000001E-42</v>
      </c>
      <c r="I899" s="20">
        <v>42.74</v>
      </c>
      <c r="J899" s="20"/>
    </row>
    <row r="900" spans="1:10" x14ac:dyDescent="0.2">
      <c r="A900" s="20" t="str">
        <f>HYPERLINK("https://www.ncbi.nlm.nih.gov/protein/XP_004916766.1?report=genbank&amp;log$=prottop&amp;blast_rank=219&amp;RID=DNNRD06A013","XP_004916766.1")</f>
        <v>XP_004916766.1</v>
      </c>
      <c r="B900" s="45">
        <v>230</v>
      </c>
      <c r="C900" s="20" t="s">
        <v>1336</v>
      </c>
      <c r="D900" s="21" t="s">
        <v>1337</v>
      </c>
      <c r="E900" s="20">
        <v>159</v>
      </c>
      <c r="F900" s="20">
        <v>159</v>
      </c>
      <c r="G900" s="22">
        <v>0.72</v>
      </c>
      <c r="H900" s="23">
        <v>1.0000000000000001E-43</v>
      </c>
      <c r="I900" s="20">
        <v>42.79</v>
      </c>
      <c r="J900" s="20"/>
    </row>
    <row r="901" spans="1:10" x14ac:dyDescent="0.2">
      <c r="A901" s="20" t="str">
        <f>HYPERLINK("https://www.ncbi.nlm.nih.gov/protein/XP_027464670.1?report=genbank&amp;log$=prottop&amp;blast_rank=295&amp;RID=DNNRD06A013","XP_027464670.1")</f>
        <v>XP_027464670.1</v>
      </c>
      <c r="B901" s="45">
        <v>236</v>
      </c>
      <c r="C901" s="20" t="s">
        <v>1338</v>
      </c>
      <c r="D901" s="21" t="s">
        <v>1339</v>
      </c>
      <c r="E901" s="20">
        <v>152</v>
      </c>
      <c r="F901" s="20">
        <v>152</v>
      </c>
      <c r="G901" s="22">
        <v>0.7</v>
      </c>
      <c r="H901" s="23">
        <v>5.9999999999999998E-41</v>
      </c>
      <c r="I901" s="20">
        <v>47.35</v>
      </c>
      <c r="J901" s="20"/>
    </row>
    <row r="902" spans="1:10" x14ac:dyDescent="0.2">
      <c r="A902" s="20" t="str">
        <f>HYPERLINK("https://www.ncbi.nlm.nih.gov/protein/XP_027439307.1?report=genbank&amp;log$=prottop&amp;blast_rank=66&amp;RID=DNNRD06A013","XP_027439307.1")</f>
        <v>XP_027439307.1</v>
      </c>
      <c r="B902" s="45">
        <v>314</v>
      </c>
      <c r="C902" s="20" t="s">
        <v>1340</v>
      </c>
      <c r="D902" s="21" t="s">
        <v>1339</v>
      </c>
      <c r="E902" s="20">
        <v>401</v>
      </c>
      <c r="F902" s="20">
        <v>401</v>
      </c>
      <c r="G902" s="22">
        <v>1</v>
      </c>
      <c r="H902" s="23">
        <v>9.9999999999999998E-138</v>
      </c>
      <c r="I902" s="20">
        <v>80.89</v>
      </c>
      <c r="J902" s="20"/>
    </row>
    <row r="903" spans="1:10" x14ac:dyDescent="0.2">
      <c r="A903" s="20" t="str">
        <f>HYPERLINK("https://www.ncbi.nlm.nih.gov/protein/XP_038218372.1?report=genbank&amp;log$=prottop&amp;blast_rank=678&amp;RID=DNNRD06A013","XP_038218372.1")</f>
        <v>XP_038218372.1</v>
      </c>
      <c r="B903" s="45">
        <v>284</v>
      </c>
      <c r="C903" s="20" t="s">
        <v>1341</v>
      </c>
      <c r="D903" s="21" t="s">
        <v>1342</v>
      </c>
      <c r="E903" s="20">
        <v>74.3</v>
      </c>
      <c r="F903" s="20">
        <v>74.3</v>
      </c>
      <c r="G903" s="22">
        <v>0.48</v>
      </c>
      <c r="H903" s="23">
        <v>3E-11</v>
      </c>
      <c r="I903" s="20">
        <v>31.61</v>
      </c>
      <c r="J903" s="20"/>
    </row>
    <row r="904" spans="1:10" x14ac:dyDescent="0.2">
      <c r="A904" s="20" t="str">
        <f>HYPERLINK("https://www.ncbi.nlm.nih.gov/protein/XP_038218470.1?report=genbank&amp;log$=prottop&amp;blast_rank=630&amp;RID=DNNRD06A013","XP_038218470.1")</f>
        <v>XP_038218470.1</v>
      </c>
      <c r="B904" s="45">
        <v>284</v>
      </c>
      <c r="C904" s="20" t="s">
        <v>1343</v>
      </c>
      <c r="D904" s="21" t="s">
        <v>1342</v>
      </c>
      <c r="E904" s="20">
        <v>78.599999999999994</v>
      </c>
      <c r="F904" s="20">
        <v>78.599999999999994</v>
      </c>
      <c r="G904" s="22">
        <v>0.7</v>
      </c>
      <c r="H904" s="23">
        <v>8.0000000000000002E-13</v>
      </c>
      <c r="I904" s="20">
        <v>26.33</v>
      </c>
      <c r="J904" s="20"/>
    </row>
    <row r="905" spans="1:10" x14ac:dyDescent="0.2">
      <c r="A905" s="20" t="str">
        <f>HYPERLINK("https://www.ncbi.nlm.nih.gov/protein/XP_011189352.1?report=genbank&amp;log$=prottop&amp;blast_rank=648&amp;RID=DNNRD06A013","XP_011189352.1")</f>
        <v>XP_011189352.1</v>
      </c>
      <c r="B905" s="45">
        <v>241</v>
      </c>
      <c r="C905" s="20" t="s">
        <v>1344</v>
      </c>
      <c r="D905" s="21" t="s">
        <v>1345</v>
      </c>
      <c r="E905" s="20">
        <v>75.900000000000006</v>
      </c>
      <c r="F905" s="20">
        <v>75.900000000000006</v>
      </c>
      <c r="G905" s="22">
        <v>0.52</v>
      </c>
      <c r="H905" s="23">
        <v>3.0000000000000001E-12</v>
      </c>
      <c r="I905" s="20">
        <v>28</v>
      </c>
      <c r="J905" s="20"/>
    </row>
    <row r="906" spans="1:10" x14ac:dyDescent="0.2">
      <c r="A906" s="20" t="str">
        <f>HYPERLINK("https://www.ncbi.nlm.nih.gov/protein/XP_011193531.1?report=genbank&amp;log$=prottop&amp;blast_rank=686&amp;RID=DNNRD06A013","XP_011193531.1")</f>
        <v>XP_011193531.1</v>
      </c>
      <c r="B906" s="45">
        <v>336</v>
      </c>
      <c r="C906" s="20" t="s">
        <v>1346</v>
      </c>
      <c r="D906" s="21" t="s">
        <v>1345</v>
      </c>
      <c r="E906" s="20">
        <v>74.3</v>
      </c>
      <c r="F906" s="20">
        <v>74.3</v>
      </c>
      <c r="G906" s="22">
        <v>0.48</v>
      </c>
      <c r="H906" s="23">
        <v>3.9999999999999998E-11</v>
      </c>
      <c r="I906" s="20">
        <v>34.39</v>
      </c>
      <c r="J906" s="20"/>
    </row>
    <row r="907" spans="1:10" x14ac:dyDescent="0.2">
      <c r="A907" s="20" t="str">
        <f>HYPERLINK("https://www.ncbi.nlm.nih.gov/protein/XP_021917814.1?report=genbank&amp;log$=prottop&amp;blast_rank=491&amp;RID=DNNRD06A013","XP_021917814.1")</f>
        <v>XP_021917814.1</v>
      </c>
      <c r="B907" s="45">
        <v>265</v>
      </c>
      <c r="C907" s="20" t="s">
        <v>1347</v>
      </c>
      <c r="D907" s="21" t="s">
        <v>1348</v>
      </c>
      <c r="E907" s="20">
        <v>105</v>
      </c>
      <c r="F907" s="20">
        <v>105</v>
      </c>
      <c r="G907" s="22">
        <v>0.72</v>
      </c>
      <c r="H907" s="23">
        <v>8.9999999999999995E-23</v>
      </c>
      <c r="I907" s="20">
        <v>31.06</v>
      </c>
      <c r="J907" s="20"/>
    </row>
    <row r="908" spans="1:10" x14ac:dyDescent="0.2">
      <c r="A908" s="20" t="str">
        <f>HYPERLINK("https://www.ncbi.nlm.nih.gov/protein/XP_021917815.1?report=genbank&amp;log$=prottop&amp;blast_rank=657&amp;RID=DNNRD06A013","XP_021917815.1")</f>
        <v>XP_021917815.1</v>
      </c>
      <c r="B908" s="45">
        <v>160</v>
      </c>
      <c r="C908" s="20" t="s">
        <v>1349</v>
      </c>
      <c r="D908" s="21" t="s">
        <v>1348</v>
      </c>
      <c r="E908" s="20">
        <v>73.599999999999994</v>
      </c>
      <c r="F908" s="20">
        <v>73.599999999999994</v>
      </c>
      <c r="G908" s="22">
        <v>0.37</v>
      </c>
      <c r="H908" s="23">
        <v>6.0000000000000003E-12</v>
      </c>
      <c r="I908" s="20">
        <v>30.46</v>
      </c>
      <c r="J908" s="20"/>
    </row>
    <row r="909" spans="1:10" x14ac:dyDescent="0.2">
      <c r="A909" s="20" t="str">
        <f>HYPERLINK("https://www.ncbi.nlm.nih.gov/protein/XP_034996988.1?report=genbank&amp;log$=prottop&amp;blast_rank=401&amp;RID=DNNRD06A013","XP_034996988.1")</f>
        <v>XP_034996988.1</v>
      </c>
      <c r="B909" s="45">
        <v>225</v>
      </c>
      <c r="C909" s="20" t="s">
        <v>1350</v>
      </c>
      <c r="D909" s="21" t="s">
        <v>1351</v>
      </c>
      <c r="E909" s="20">
        <v>145</v>
      </c>
      <c r="F909" s="20">
        <v>145</v>
      </c>
      <c r="G909" s="22">
        <v>0.72</v>
      </c>
      <c r="H909" s="23">
        <v>2.9999999999999999E-38</v>
      </c>
      <c r="I909" s="20">
        <v>41.67</v>
      </c>
      <c r="J909" s="20"/>
    </row>
    <row r="910" spans="1:10" x14ac:dyDescent="0.2">
      <c r="A910" s="20" t="str">
        <f>HYPERLINK("https://www.ncbi.nlm.nih.gov/protein/XP_034963956.1?report=genbank&amp;log$=prottop&amp;blast_rank=202&amp;RID=DNNRD06A013","XP_034963956.1")</f>
        <v>XP_034963956.1</v>
      </c>
      <c r="B910" s="45">
        <v>488</v>
      </c>
      <c r="C910" s="20" t="s">
        <v>1352</v>
      </c>
      <c r="D910" s="21" t="s">
        <v>1351</v>
      </c>
      <c r="E910" s="20">
        <v>197</v>
      </c>
      <c r="F910" s="20">
        <v>197</v>
      </c>
      <c r="G910" s="22">
        <v>0.72</v>
      </c>
      <c r="H910" s="23">
        <v>2E-55</v>
      </c>
      <c r="I910" s="20">
        <v>48.51</v>
      </c>
      <c r="J910" s="20"/>
    </row>
    <row r="911" spans="1:10" x14ac:dyDescent="0.2">
      <c r="C911" s="10" t="s">
        <v>1353</v>
      </c>
    </row>
  </sheetData>
  <pageMargins left="0.7" right="0.7" top="0.75" bottom="0.75" header="0.3" footer="0.3"/>
  <pageSetup orientation="portrait" horizontalDpi="0" verticalDpi="0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Table_S1</vt:lpstr>
    </vt:vector>
  </TitlesOfParts>
  <Company>National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Konate, Mariam (NIH/NCI) [E]</dc:creator>
  <cp:lastModifiedBy>Krushkal, Julia (NIH/NCI) [E]</cp:lastModifiedBy>
  <dcterms:created xsi:type="dcterms:W3CDTF">2024-12-17T17:22:28Z</dcterms:created>
  <dcterms:modified xsi:type="dcterms:W3CDTF">2025-03-13T04:36:48Z</dcterms:modified>
</cp:coreProperties>
</file>